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enny Hernandez\Desktop\Laboratorio 2019\Formatos para ajustar\"/>
    </mc:Choice>
  </mc:AlternateContent>
  <workbookProtection workbookAlgorithmName="SHA-512" workbookHashValue="y3aRAtQ54BU1BupB7Cgqz0dYntJNRVqoFpRPNEbt+iquFgO5SbC+dWUmhq3uGOjsFbmBsl5Rk1K5e0OYHFf3ew==" workbookSaltValue="U/2YMrSvwOfdhfWeyOfTBg==" workbookSpinCount="100000" lockStructure="1"/>
  <bookViews>
    <workbookView xWindow="0" yWindow="0" windowWidth="20325" windowHeight="9135" tabRatio="791" firstSheet="2" activeTab="2"/>
  </bookViews>
  <sheets>
    <sheet name="DATOS 1" sheetId="27" state="hidden" r:id="rId1"/>
    <sheet name="DATOS" sheetId="22" state="hidden" r:id="rId2"/>
    <sheet name="RT03-F33" sheetId="30" r:id="rId3"/>
    <sheet name="CALIBRACIÓN DESPUES DE AJUSTE" sheetId="19" state="hidden" r:id="rId4"/>
    <sheet name="VERIFICACIÓN DE LA ESCALA" sheetId="18" state="hidden" r:id="rId5"/>
    <sheet name="RT03-F35" sheetId="26" state="hidden" r:id="rId6"/>
  </sheets>
  <definedNames>
    <definedName name="_xlnm.Print_Area" localSheetId="3">'CALIBRACIÓN DESPUES DE AJUSTE'!$A$1:$Y$125</definedName>
    <definedName name="_xlnm.Print_Area" localSheetId="1">DATOS!$A$1:$V$168</definedName>
    <definedName name="_xlnm.Print_Area" localSheetId="2">'RT03-F33'!$A$1:$Y$125</definedName>
    <definedName name="_xlnm.Print_Area" localSheetId="5">'RT03-F35'!$A$1:$K$162</definedName>
    <definedName name="_xlnm.Print_Area" localSheetId="4">'VERIFICACIÓN DE LA ESCALA'!$A$1:$W$61</definedName>
    <definedName name="Beta" localSheetId="0">#REF!</definedName>
    <definedName name="Beta" localSheetId="2">#REF!</definedName>
    <definedName name="Beta">#REF!</definedName>
    <definedName name="CoefictérmicaRVC" localSheetId="0">#REF!</definedName>
    <definedName name="CoefictérmicaRVC" localSheetId="2">#REF!</definedName>
    <definedName name="CoefictérmicaRVC">#REF!</definedName>
    <definedName name="coefipatron" localSheetId="0">#REF!</definedName>
    <definedName name="coefipatron" localSheetId="2">#REF!</definedName>
    <definedName name="coefipatron">#REF!</definedName>
    <definedName name="CONSECUTIVO" localSheetId="0">#REF!</definedName>
    <definedName name="CONSECUTIVO" localSheetId="2">#REF!</definedName>
    <definedName name="CONSECUTIVO">#REF!</definedName>
    <definedName name="fabricante" localSheetId="0">#REF!</definedName>
    <definedName name="fabricante" localSheetId="2">#REF!</definedName>
    <definedName name="fabricante">#REF!</definedName>
    <definedName name="FECHACALIBRACION" localSheetId="0">#REF!</definedName>
    <definedName name="FECHACALIBRACION" localSheetId="2">#REF!</definedName>
    <definedName name="FECHACALIBRACION">#REF!</definedName>
    <definedName name="GammaRS" localSheetId="0">#REF!</definedName>
    <definedName name="GammaRS" localSheetId="2">#REF!</definedName>
    <definedName name="GammaRS">#REF!</definedName>
    <definedName name="GammaSCM" localSheetId="0">#REF!</definedName>
    <definedName name="GammaSCM" localSheetId="2">#REF!</definedName>
    <definedName name="GammaSCM">#REF!</definedName>
    <definedName name="IDENTIFICACION" localSheetId="0">#REF!</definedName>
    <definedName name="IDENTIFICACION" localSheetId="2">#REF!</definedName>
    <definedName name="IDENTIFICACION">#REF!</definedName>
    <definedName name="METROLOGO" localSheetId="0">#REF!</definedName>
    <definedName name="METROLOGO" localSheetId="2">#REF!</definedName>
    <definedName name="METROLOGO">#REF!</definedName>
    <definedName name="mL_a_gal" localSheetId="0">#REF!</definedName>
    <definedName name="mL_a_gal" localSheetId="2">#REF!</definedName>
    <definedName name="mL_a_gal">#REF!</definedName>
    <definedName name="mL_a_in3" localSheetId="0">#REF!</definedName>
    <definedName name="mL_a_in3" localSheetId="2">#REF!</definedName>
    <definedName name="mL_a_in3">#REF!</definedName>
    <definedName name="Modelo" localSheetId="0">#REF!</definedName>
    <definedName name="Modelo" localSheetId="2">#REF!</definedName>
    <definedName name="Modelo">#REF!</definedName>
    <definedName name="Print_Area" localSheetId="3">'CALIBRACIÓN DESPUES DE AJUSTE'!$A$1:$S$125</definedName>
    <definedName name="Print_Area" localSheetId="1">DATOS!$A$1:$Z$161</definedName>
    <definedName name="Print_Area" localSheetId="0">'DATOS 1'!$A$1:$Z$121</definedName>
    <definedName name="Print_Area" localSheetId="2">'RT03-F33'!$A$1:$S$125</definedName>
    <definedName name="Print_Area" localSheetId="5">'RT03-F35'!$A$1:$L$157</definedName>
    <definedName name="Print_Area" localSheetId="4">'VERIFICACIÓN DE LA ESCALA'!$A$1:$V$60</definedName>
    <definedName name="Print_Titles" localSheetId="3">'CALIBRACIÓN DESPUES DE AJUSTE'!$1:$1</definedName>
    <definedName name="Print_Titles" localSheetId="1">DATOS!$1:$1</definedName>
    <definedName name="Print_Titles" localSheetId="0">'DATOS 1'!$1:$1</definedName>
    <definedName name="Print_Titles" localSheetId="2">'RT03-F33'!$1:$1</definedName>
    <definedName name="Print_Titles" localSheetId="4">'VERIFICACIÓN DE LA ESCALA'!$1:$1</definedName>
    <definedName name="serie" localSheetId="0">#REF!</definedName>
    <definedName name="serie" localSheetId="2">#REF!</definedName>
    <definedName name="serie">#REF!</definedName>
    <definedName name="t0RS" localSheetId="0">#REF!</definedName>
    <definedName name="t0RS" localSheetId="2">#REF!</definedName>
    <definedName name="t0RS">#REF!</definedName>
    <definedName name="tRS" localSheetId="0">#REF!</definedName>
    <definedName name="tRS" localSheetId="2">#REF!</definedName>
    <definedName name="tRS">#REF!</definedName>
    <definedName name="tSCM" localSheetId="0">#REF!</definedName>
    <definedName name="tSCM" localSheetId="2">#REF!</definedName>
    <definedName name="tSCM">#REF!</definedName>
    <definedName name="Urvc" localSheetId="0">#REF!</definedName>
    <definedName name="Urvc" localSheetId="2">#REF!</definedName>
    <definedName name="Urvc">#REF!</definedName>
    <definedName name="Vo" localSheetId="0">#REF!</definedName>
    <definedName name="Vo" localSheetId="2">#REF!</definedName>
    <definedName name="Vo">#REF!</definedName>
    <definedName name="Vrvc" localSheetId="0">#REF!</definedName>
    <definedName name="Vrvc" localSheetId="2">#REF!</definedName>
    <definedName name="Vrvc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26" l="1"/>
  <c r="B3" i="30" l="1"/>
  <c r="A31" i="26" l="1"/>
  <c r="H112" i="26" l="1"/>
  <c r="F112" i="26"/>
  <c r="T151" i="22"/>
  <c r="H32" i="22" l="1"/>
  <c r="H31" i="22"/>
  <c r="H15" i="22"/>
  <c r="S115" i="22"/>
  <c r="S114" i="22"/>
  <c r="C104" i="26" l="1"/>
  <c r="C103" i="26"/>
  <c r="C102" i="26"/>
  <c r="G117" i="30" l="1"/>
  <c r="Q116" i="30"/>
  <c r="G116" i="30"/>
  <c r="G115" i="30"/>
  <c r="G114" i="30"/>
  <c r="G111" i="30"/>
  <c r="E111" i="30"/>
  <c r="H111" i="30" s="1"/>
  <c r="G110" i="30"/>
  <c r="G109" i="30"/>
  <c r="G108" i="30"/>
  <c r="G106" i="30"/>
  <c r="F106" i="30"/>
  <c r="G105" i="30"/>
  <c r="F105" i="30"/>
  <c r="F104" i="30"/>
  <c r="G103" i="30"/>
  <c r="F103" i="30"/>
  <c r="F102" i="30"/>
  <c r="E102" i="30"/>
  <c r="G101" i="30"/>
  <c r="F101" i="30"/>
  <c r="G100" i="30"/>
  <c r="F100" i="30"/>
  <c r="F99" i="30"/>
  <c r="G98" i="30"/>
  <c r="F95" i="30"/>
  <c r="I95" i="30" s="1"/>
  <c r="G94" i="30"/>
  <c r="F94" i="30"/>
  <c r="I94" i="30" s="1"/>
  <c r="F93" i="30"/>
  <c r="I93" i="30" s="1"/>
  <c r="K90" i="30"/>
  <c r="I90" i="30"/>
  <c r="G90" i="30"/>
  <c r="K89" i="30"/>
  <c r="M46" i="30"/>
  <c r="J46" i="30"/>
  <c r="G46" i="30"/>
  <c r="D46" i="30"/>
  <c r="M45" i="30"/>
  <c r="J45" i="30"/>
  <c r="G45" i="30"/>
  <c r="D45" i="30"/>
  <c r="M44" i="30"/>
  <c r="J44" i="30"/>
  <c r="G44" i="30"/>
  <c r="D44" i="30"/>
  <c r="E101" i="30" s="1"/>
  <c r="O39" i="30"/>
  <c r="D39" i="30"/>
  <c r="O38" i="30"/>
  <c r="O37" i="30"/>
  <c r="D36" i="30"/>
  <c r="J111" i="30" s="1"/>
  <c r="F35" i="30"/>
  <c r="D35" i="30"/>
  <c r="D34" i="30"/>
  <c r="D33" i="30"/>
  <c r="D32" i="30"/>
  <c r="F31" i="30"/>
  <c r="D31" i="30"/>
  <c r="F30" i="30"/>
  <c r="D30" i="30"/>
  <c r="F29" i="30"/>
  <c r="D29" i="30"/>
  <c r="O72" i="30" s="1"/>
  <c r="F28" i="30"/>
  <c r="D28" i="30"/>
  <c r="F27" i="30"/>
  <c r="D27" i="30"/>
  <c r="F26" i="30"/>
  <c r="D26" i="30"/>
  <c r="P22" i="30"/>
  <c r="O22" i="30"/>
  <c r="I22" i="30"/>
  <c r="K22" i="30" s="1"/>
  <c r="G22" i="30"/>
  <c r="E22" i="30"/>
  <c r="C22" i="30"/>
  <c r="B22" i="30"/>
  <c r="P21" i="30"/>
  <c r="O21" i="30"/>
  <c r="I21" i="30"/>
  <c r="K21" i="30" s="1"/>
  <c r="G21" i="30"/>
  <c r="E21" i="30"/>
  <c r="C21" i="30"/>
  <c r="B21" i="30"/>
  <c r="R20" i="30"/>
  <c r="O21" i="18" s="1"/>
  <c r="Q20" i="30"/>
  <c r="R19" i="30"/>
  <c r="O20" i="18" s="1"/>
  <c r="Q19" i="30"/>
  <c r="N20" i="18" s="1"/>
  <c r="P19" i="30"/>
  <c r="O19" i="30"/>
  <c r="G8" i="18" s="1"/>
  <c r="I19" i="30"/>
  <c r="G19" i="30"/>
  <c r="E8" i="18" s="1"/>
  <c r="E19" i="30"/>
  <c r="D8" i="18" s="1"/>
  <c r="C19" i="30"/>
  <c r="C8" i="18" s="1"/>
  <c r="B19" i="30"/>
  <c r="A8" i="18" s="1"/>
  <c r="P18" i="30"/>
  <c r="O18" i="30"/>
  <c r="G93" i="30" s="1"/>
  <c r="I18" i="30"/>
  <c r="E93" i="30" s="1"/>
  <c r="G18" i="30"/>
  <c r="E18" i="30"/>
  <c r="E94" i="30" s="1"/>
  <c r="H94" i="30" s="1"/>
  <c r="C18" i="30"/>
  <c r="D92" i="30" s="1"/>
  <c r="B18" i="30"/>
  <c r="P17" i="30"/>
  <c r="O17" i="30"/>
  <c r="I17" i="30"/>
  <c r="K17" i="30" s="1"/>
  <c r="G17" i="30"/>
  <c r="E17" i="30"/>
  <c r="C17" i="30"/>
  <c r="B17" i="30"/>
  <c r="P16" i="30"/>
  <c r="O16" i="30"/>
  <c r="I16" i="30"/>
  <c r="G16" i="30"/>
  <c r="E16" i="30"/>
  <c r="C16" i="30"/>
  <c r="B16" i="30"/>
  <c r="P15" i="30"/>
  <c r="O15" i="30"/>
  <c r="I15" i="30"/>
  <c r="K15" i="30" s="1"/>
  <c r="E105" i="30" s="1"/>
  <c r="H105" i="30" s="1"/>
  <c r="G15" i="30"/>
  <c r="E15" i="30"/>
  <c r="C15" i="30"/>
  <c r="B15" i="30"/>
  <c r="P14" i="30"/>
  <c r="O14" i="30"/>
  <c r="G104" i="30" s="1"/>
  <c r="I14" i="30"/>
  <c r="K14" i="30" s="1"/>
  <c r="G14" i="30"/>
  <c r="E14" i="30"/>
  <c r="E103" i="30" s="1"/>
  <c r="C14" i="30"/>
  <c r="B14" i="30"/>
  <c r="P13" i="30"/>
  <c r="O13" i="30"/>
  <c r="I13" i="30"/>
  <c r="G13" i="30"/>
  <c r="E13" i="30"/>
  <c r="C13" i="30"/>
  <c r="B13" i="30"/>
  <c r="P12" i="30"/>
  <c r="O12" i="30"/>
  <c r="I12" i="30"/>
  <c r="K12" i="30" s="1"/>
  <c r="M12" i="30" s="1"/>
  <c r="G12" i="30"/>
  <c r="E12" i="30"/>
  <c r="C12" i="30"/>
  <c r="B12" i="30"/>
  <c r="P11" i="30"/>
  <c r="O11" i="30"/>
  <c r="I11" i="30"/>
  <c r="K11" i="30" s="1"/>
  <c r="M11" i="30" s="1"/>
  <c r="G11" i="30"/>
  <c r="E11" i="30"/>
  <c r="C11" i="30"/>
  <c r="B11" i="30"/>
  <c r="P10" i="30"/>
  <c r="O10" i="30"/>
  <c r="I10" i="30"/>
  <c r="K10" i="30" s="1"/>
  <c r="G10" i="30"/>
  <c r="E10" i="30"/>
  <c r="C10" i="30"/>
  <c r="B10" i="30"/>
  <c r="P9" i="30"/>
  <c r="O9" i="30"/>
  <c r="G99" i="30" s="1"/>
  <c r="I9" i="30"/>
  <c r="K9" i="30" s="1"/>
  <c r="E100" i="30" s="1"/>
  <c r="H100" i="30" s="1"/>
  <c r="G9" i="30"/>
  <c r="E9" i="30"/>
  <c r="E98" i="30" s="1"/>
  <c r="H98" i="30" s="1"/>
  <c r="C9" i="30"/>
  <c r="B9" i="30"/>
  <c r="P8" i="30"/>
  <c r="O8" i="30"/>
  <c r="I8" i="30"/>
  <c r="G8" i="30"/>
  <c r="E8" i="30"/>
  <c r="C8" i="30"/>
  <c r="B8" i="30"/>
  <c r="K7" i="30"/>
  <c r="E90" i="30" s="1"/>
  <c r="H90" i="30" s="1"/>
  <c r="P3" i="30"/>
  <c r="M3" i="30"/>
  <c r="J3" i="30"/>
  <c r="G3" i="30"/>
  <c r="D3" i="30"/>
  <c r="D13" i="26" s="1"/>
  <c r="N48" i="22"/>
  <c r="N47" i="22"/>
  <c r="N46" i="22"/>
  <c r="N45" i="22"/>
  <c r="N44" i="22"/>
  <c r="M48" i="22"/>
  <c r="M47" i="22"/>
  <c r="M46" i="22"/>
  <c r="M45" i="22"/>
  <c r="M44" i="22"/>
  <c r="N42" i="22"/>
  <c r="N41" i="22"/>
  <c r="N40" i="22"/>
  <c r="N39" i="22"/>
  <c r="N38" i="22"/>
  <c r="M42" i="22"/>
  <c r="M41" i="22"/>
  <c r="M40" i="22"/>
  <c r="M39" i="22"/>
  <c r="M38" i="22"/>
  <c r="B8" i="18" l="1"/>
  <c r="N21" i="18"/>
  <c r="K19" i="30"/>
  <c r="F8" i="18"/>
  <c r="A112" i="26"/>
  <c r="A105" i="26"/>
  <c r="E106" i="30"/>
  <c r="H106" i="30" s="1"/>
  <c r="K18" i="30"/>
  <c r="G95" i="30" s="1"/>
  <c r="E99" i="30"/>
  <c r="H99" i="30" s="1"/>
  <c r="K8" i="30"/>
  <c r="H103" i="30"/>
  <c r="D103" i="30"/>
  <c r="P80" i="30"/>
  <c r="A103" i="26"/>
  <c r="A104" i="26"/>
  <c r="A102" i="26"/>
  <c r="H101" i="30"/>
  <c r="K56" i="30"/>
  <c r="K57" i="30"/>
  <c r="E114" i="30"/>
  <c r="H114" i="30" s="1"/>
  <c r="L114" i="30" s="1"/>
  <c r="N114" i="30" s="1"/>
  <c r="F36" i="30"/>
  <c r="J93" i="30"/>
  <c r="J94" i="30"/>
  <c r="L94" i="30" s="1"/>
  <c r="N94" i="30" s="1"/>
  <c r="J95" i="30"/>
  <c r="L111" i="30"/>
  <c r="N111" i="30" s="1"/>
  <c r="E104" i="30"/>
  <c r="H104" i="30" s="1"/>
  <c r="K13" i="30"/>
  <c r="K16" i="30"/>
  <c r="M16" i="30" s="1"/>
  <c r="O74" i="30"/>
  <c r="E109" i="30"/>
  <c r="H109" i="30" s="1"/>
  <c r="H93" i="30"/>
  <c r="G47" i="30"/>
  <c r="M17" i="30"/>
  <c r="M47" i="30"/>
  <c r="K55" i="30"/>
  <c r="E95" i="30" l="1"/>
  <c r="H95" i="30" s="1"/>
  <c r="L95" i="30" s="1"/>
  <c r="N95" i="30" s="1"/>
  <c r="K58" i="30"/>
  <c r="D37" i="30" s="1"/>
  <c r="E108" i="30" s="1"/>
  <c r="H108" i="30" s="1"/>
  <c r="L93" i="30"/>
  <c r="N93" i="30" s="1"/>
  <c r="D102" i="30"/>
  <c r="P70" i="30"/>
  <c r="O68" i="30"/>
  <c r="E97" i="30"/>
  <c r="D97" i="30"/>
  <c r="O78" i="30" l="1"/>
  <c r="F37" i="30"/>
  <c r="P78" i="30" s="1"/>
  <c r="D107" i="30"/>
  <c r="E107" i="30"/>
  <c r="K15" i="22"/>
  <c r="F34" i="30" s="1"/>
  <c r="E115" i="30" s="1"/>
  <c r="H115" i="30" s="1"/>
  <c r="L115" i="30" s="1"/>
  <c r="N115" i="30" s="1"/>
  <c r="K7" i="19" l="1"/>
  <c r="A30" i="26" l="1"/>
  <c r="J15" i="22"/>
  <c r="F33" i="30" s="1"/>
  <c r="E110" i="30" l="1"/>
  <c r="H110" i="30" s="1"/>
  <c r="P76" i="30"/>
  <c r="K66" i="30" s="1"/>
  <c r="E32" i="22"/>
  <c r="E31" i="22"/>
  <c r="D32" i="22"/>
  <c r="D31" i="22"/>
  <c r="C32" i="22"/>
  <c r="C31" i="22"/>
  <c r="G7" i="30" l="1"/>
  <c r="O7" i="30"/>
  <c r="G89" i="30" s="1"/>
  <c r="J90" i="30"/>
  <c r="L90" i="30" s="1"/>
  <c r="N90" i="30" s="1"/>
  <c r="J89" i="30"/>
  <c r="E7" i="30"/>
  <c r="C7" i="30"/>
  <c r="I7" i="30"/>
  <c r="E89" i="30" s="1"/>
  <c r="B7" i="30"/>
  <c r="P7" i="30"/>
  <c r="H89" i="30" l="1"/>
  <c r="L89" i="30" s="1"/>
  <c r="N89" i="30" s="1"/>
  <c r="D88" i="30"/>
  <c r="O30" i="30"/>
  <c r="O66" i="30"/>
  <c r="G56" i="30"/>
  <c r="H56" i="30" s="1"/>
  <c r="G57" i="30"/>
  <c r="H57" i="30" s="1"/>
  <c r="G55" i="30"/>
  <c r="H55" i="30" s="1"/>
  <c r="F158" i="26"/>
  <c r="H59" i="30" l="1"/>
  <c r="H58" i="30"/>
  <c r="O31" i="30"/>
  <c r="O27" i="30"/>
  <c r="O29" i="30"/>
  <c r="O28" i="30"/>
  <c r="E117" i="30"/>
  <c r="H117" i="30" s="1"/>
  <c r="L117" i="30" s="1"/>
  <c r="N117" i="30" s="1"/>
  <c r="K72" i="30"/>
  <c r="J109" i="30" s="1"/>
  <c r="L109" i="30" s="1"/>
  <c r="N109" i="30" s="1"/>
  <c r="K68" i="30"/>
  <c r="K74" i="30"/>
  <c r="J110" i="30" s="1"/>
  <c r="L110" i="30" s="1"/>
  <c r="N110" i="30" s="1"/>
  <c r="K70" i="30"/>
  <c r="K76" i="30"/>
  <c r="J108" i="30" s="1"/>
  <c r="L108" i="30" s="1"/>
  <c r="N108" i="30" s="1"/>
  <c r="R20" i="19"/>
  <c r="Q20" i="19"/>
  <c r="R19" i="19"/>
  <c r="Q19" i="19"/>
  <c r="J106" i="30" l="1"/>
  <c r="L106" i="30" s="1"/>
  <c r="N106" i="30" s="1"/>
  <c r="J104" i="30"/>
  <c r="L104" i="30" s="1"/>
  <c r="N104" i="30" s="1"/>
  <c r="J105" i="30"/>
  <c r="L105" i="30" s="1"/>
  <c r="N105" i="30" s="1"/>
  <c r="J103" i="30"/>
  <c r="L103" i="30" s="1"/>
  <c r="N103" i="30" s="1"/>
  <c r="N124" i="30" s="1"/>
  <c r="N125" i="30" s="1"/>
  <c r="O124" i="30" s="1"/>
  <c r="C121" i="30"/>
  <c r="C124" i="30" s="1"/>
  <c r="F105" i="26" s="1"/>
  <c r="P30" i="30"/>
  <c r="J101" i="30"/>
  <c r="L101" i="30" s="1"/>
  <c r="N101" i="30" s="1"/>
  <c r="J100" i="30"/>
  <c r="L100" i="30" s="1"/>
  <c r="N100" i="30" s="1"/>
  <c r="J99" i="30"/>
  <c r="L99" i="30" s="1"/>
  <c r="J98" i="30"/>
  <c r="L98" i="30" s="1"/>
  <c r="N98" i="30" s="1"/>
  <c r="H60" i="30"/>
  <c r="E116" i="30"/>
  <c r="H116" i="30" s="1"/>
  <c r="L116" i="30" s="1"/>
  <c r="N116" i="30" s="1"/>
  <c r="F159" i="26"/>
  <c r="N99" i="30" l="1"/>
  <c r="N118" i="30" s="1"/>
  <c r="F102" i="26"/>
  <c r="H121" i="30"/>
  <c r="C122" i="30"/>
  <c r="Q30" i="30"/>
  <c r="P28" i="30"/>
  <c r="Q28" i="30" s="1"/>
  <c r="P31" i="30"/>
  <c r="Q31" i="30" s="1"/>
  <c r="R31" i="30" s="1"/>
  <c r="P29" i="30"/>
  <c r="Q29" i="30" s="1"/>
  <c r="R29" i="30" s="1"/>
  <c r="P27" i="30"/>
  <c r="Q27" i="30" s="1"/>
  <c r="R27" i="30" s="1"/>
  <c r="G95" i="26"/>
  <c r="G94" i="26"/>
  <c r="I93" i="26"/>
  <c r="G93" i="26"/>
  <c r="D93" i="26"/>
  <c r="G96" i="26"/>
  <c r="I96" i="26"/>
  <c r="D96" i="26"/>
  <c r="N119" i="30" l="1"/>
  <c r="D121" i="30"/>
  <c r="N120" i="30"/>
  <c r="N123" i="30" s="1"/>
  <c r="Q55" i="30"/>
  <c r="R30" i="30"/>
  <c r="Q54" i="30" s="1"/>
  <c r="H122" i="30"/>
  <c r="I121" i="30"/>
  <c r="Q57" i="30"/>
  <c r="R28" i="30"/>
  <c r="Q56" i="30" s="1"/>
  <c r="C123" i="30"/>
  <c r="F103" i="26"/>
  <c r="N15" i="22"/>
  <c r="F104" i="26" l="1"/>
  <c r="M123" i="30"/>
  <c r="D122" i="30"/>
  <c r="F121" i="30"/>
  <c r="H102" i="26" s="1"/>
  <c r="H123" i="30"/>
  <c r="I122" i="30"/>
  <c r="J45" i="19"/>
  <c r="J46" i="19"/>
  <c r="J44" i="19"/>
  <c r="D45" i="19"/>
  <c r="D46" i="19"/>
  <c r="D44" i="19"/>
  <c r="O17" i="19"/>
  <c r="O16" i="19"/>
  <c r="O15" i="19"/>
  <c r="O14" i="19"/>
  <c r="O13" i="19"/>
  <c r="O12" i="19"/>
  <c r="O11" i="19"/>
  <c r="O10" i="19"/>
  <c r="O9" i="19"/>
  <c r="O8" i="19"/>
  <c r="P17" i="19"/>
  <c r="P16" i="19"/>
  <c r="P15" i="19"/>
  <c r="P14" i="19"/>
  <c r="P13" i="19"/>
  <c r="P12" i="19"/>
  <c r="P11" i="19"/>
  <c r="P10" i="19"/>
  <c r="P9" i="19"/>
  <c r="P8" i="19"/>
  <c r="B13" i="19"/>
  <c r="I17" i="19"/>
  <c r="I16" i="19"/>
  <c r="I15" i="19"/>
  <c r="I14" i="19"/>
  <c r="I13" i="19"/>
  <c r="I12" i="19"/>
  <c r="I11" i="19"/>
  <c r="K11" i="19" s="1"/>
  <c r="M11" i="19" s="1"/>
  <c r="I10" i="19"/>
  <c r="K10" i="19" s="1"/>
  <c r="I9" i="19"/>
  <c r="I8" i="19"/>
  <c r="G17" i="19"/>
  <c r="G16" i="19"/>
  <c r="G15" i="19"/>
  <c r="G14" i="19"/>
  <c r="G13" i="19"/>
  <c r="G12" i="19"/>
  <c r="G11" i="19"/>
  <c r="G10" i="19"/>
  <c r="G9" i="19"/>
  <c r="G8" i="19"/>
  <c r="E17" i="19"/>
  <c r="E16" i="19"/>
  <c r="E15" i="19"/>
  <c r="E14" i="19"/>
  <c r="E13" i="19"/>
  <c r="E12" i="19"/>
  <c r="E11" i="19"/>
  <c r="E10" i="19"/>
  <c r="E9" i="19"/>
  <c r="E8" i="19"/>
  <c r="C17" i="19"/>
  <c r="C16" i="19"/>
  <c r="C15" i="19"/>
  <c r="C14" i="19"/>
  <c r="C13" i="19"/>
  <c r="C12" i="19"/>
  <c r="C11" i="19"/>
  <c r="C10" i="19"/>
  <c r="C9" i="19"/>
  <c r="C8" i="19"/>
  <c r="B17" i="19"/>
  <c r="B16" i="19"/>
  <c r="B12" i="19"/>
  <c r="B11" i="19"/>
  <c r="I123" i="30" l="1"/>
  <c r="I124" i="30" s="1"/>
  <c r="H124" i="30"/>
  <c r="J121" i="30"/>
  <c r="F122" i="30"/>
  <c r="H103" i="26" s="1"/>
  <c r="D123" i="30"/>
  <c r="E104" i="19"/>
  <c r="E99" i="19"/>
  <c r="K17" i="19"/>
  <c r="M17" i="19" s="1"/>
  <c r="K16" i="19"/>
  <c r="M16" i="19" s="1"/>
  <c r="K12" i="19"/>
  <c r="M12" i="19" s="1"/>
  <c r="D124" i="30" l="1"/>
  <c r="F124" i="30" s="1"/>
  <c r="F123" i="30"/>
  <c r="H105" i="26" s="1"/>
  <c r="J122" i="30"/>
  <c r="O166" i="22"/>
  <c r="O165" i="22"/>
  <c r="O164" i="22"/>
  <c r="O163" i="22"/>
  <c r="O162" i="22"/>
  <c r="N166" i="22"/>
  <c r="N165" i="22"/>
  <c r="N164" i="22"/>
  <c r="N163" i="22"/>
  <c r="N162" i="22"/>
  <c r="M166" i="22"/>
  <c r="M165" i="22"/>
  <c r="M164" i="22"/>
  <c r="M163" i="22"/>
  <c r="M162" i="22"/>
  <c r="L166" i="22"/>
  <c r="L165" i="22"/>
  <c r="L164" i="22"/>
  <c r="L163" i="22"/>
  <c r="L162" i="22"/>
  <c r="J162" i="22"/>
  <c r="K166" i="22"/>
  <c r="K165" i="22"/>
  <c r="K164" i="22"/>
  <c r="K163" i="22"/>
  <c r="K162" i="22"/>
  <c r="J166" i="22"/>
  <c r="J165" i="22"/>
  <c r="J164" i="22"/>
  <c r="J163" i="22"/>
  <c r="F166" i="22"/>
  <c r="F165" i="22"/>
  <c r="F164" i="22"/>
  <c r="F163" i="22"/>
  <c r="F162" i="22"/>
  <c r="E166" i="22"/>
  <c r="E165" i="22"/>
  <c r="E164" i="22"/>
  <c r="E163" i="22"/>
  <c r="E162" i="22"/>
  <c r="D166" i="22"/>
  <c r="D165" i="22"/>
  <c r="D164" i="22"/>
  <c r="D163" i="22"/>
  <c r="D162" i="22"/>
  <c r="J123" i="30" l="1"/>
  <c r="J124" i="30" s="1"/>
  <c r="H104" i="26"/>
  <c r="R100" i="22"/>
  <c r="I164" i="22" s="1"/>
  <c r="Q100" i="22"/>
  <c r="H164" i="22" s="1"/>
  <c r="P100" i="22"/>
  <c r="G164" i="22" s="1"/>
  <c r="R89" i="22"/>
  <c r="I163" i="22" s="1"/>
  <c r="Q89" i="22"/>
  <c r="H163" i="22" s="1"/>
  <c r="P89" i="22"/>
  <c r="G163" i="22" s="1"/>
  <c r="P78" i="22"/>
  <c r="G166" i="22" s="1"/>
  <c r="R78" i="22"/>
  <c r="I166" i="22" s="1"/>
  <c r="Q78" i="22"/>
  <c r="H166" i="22" s="1"/>
  <c r="R67" i="22"/>
  <c r="I165" i="22" s="1"/>
  <c r="Q67" i="22"/>
  <c r="H165" i="22" s="1"/>
  <c r="P67" i="22"/>
  <c r="G165" i="22" s="1"/>
  <c r="R57" i="22"/>
  <c r="I162" i="22" s="1"/>
  <c r="Q57" i="22"/>
  <c r="H162" i="22" s="1"/>
  <c r="P57" i="22"/>
  <c r="G162" i="22" s="1"/>
  <c r="C166" i="22"/>
  <c r="C165" i="22"/>
  <c r="C164" i="22"/>
  <c r="C163" i="22"/>
  <c r="C162" i="22"/>
  <c r="B166" i="22"/>
  <c r="B165" i="22"/>
  <c r="B163" i="22"/>
  <c r="B164" i="22"/>
  <c r="B162" i="22"/>
  <c r="F160" i="22"/>
  <c r="E160" i="22"/>
  <c r="D160" i="22"/>
  <c r="C160" i="22"/>
  <c r="P37" i="30" l="1"/>
  <c r="B79" i="26" s="1"/>
  <c r="P39" i="30"/>
  <c r="G79" i="26" s="1"/>
  <c r="P38" i="30"/>
  <c r="D79" i="26" s="1"/>
  <c r="L19" i="18"/>
  <c r="L20" i="18"/>
  <c r="L21" i="18"/>
  <c r="P3" i="18" l="1"/>
  <c r="M3" i="18"/>
  <c r="J3" i="18"/>
  <c r="G3" i="18"/>
  <c r="D3" i="18"/>
  <c r="B3" i="18"/>
  <c r="P3" i="19"/>
  <c r="G3" i="19"/>
  <c r="M3" i="19"/>
  <c r="J3" i="19"/>
  <c r="D3" i="19"/>
  <c r="B3" i="19"/>
  <c r="E33" i="26" l="1"/>
  <c r="J6" i="26"/>
  <c r="J126" i="26" s="1"/>
  <c r="D11" i="26"/>
  <c r="D10" i="26"/>
  <c r="D9" i="26"/>
  <c r="J45" i="26" l="1"/>
  <c r="J87" i="26"/>
  <c r="M26" i="22" l="1"/>
  <c r="G44" i="18" l="1"/>
  <c r="O39" i="19" l="1"/>
  <c r="P39" i="19" s="1"/>
  <c r="O38" i="19"/>
  <c r="P38" i="19" s="1"/>
  <c r="O37" i="19"/>
  <c r="P37" i="19" s="1"/>
  <c r="H31" i="27" l="1"/>
  <c r="K26" i="27"/>
  <c r="I26" i="27"/>
  <c r="K25" i="27"/>
  <c r="K15" i="27"/>
  <c r="I15" i="27"/>
  <c r="G117" i="19" l="1"/>
  <c r="E111" i="19"/>
  <c r="K56" i="19" l="1"/>
  <c r="K21" i="18"/>
  <c r="F35" i="19"/>
  <c r="F34" i="19"/>
  <c r="F33" i="19"/>
  <c r="E110" i="19" s="1"/>
  <c r="F30" i="19"/>
  <c r="F29" i="19"/>
  <c r="P80" i="19" s="1"/>
  <c r="F28" i="19"/>
  <c r="F27" i="19"/>
  <c r="F26" i="19"/>
  <c r="G45" i="19"/>
  <c r="G46" i="19"/>
  <c r="M45" i="19"/>
  <c r="M46" i="19"/>
  <c r="M44" i="19"/>
  <c r="G44" i="19"/>
  <c r="E43" i="18"/>
  <c r="G43" i="18"/>
  <c r="D12" i="18"/>
  <c r="K28" i="18" s="1"/>
  <c r="J44" i="18" s="1"/>
  <c r="R11" i="18"/>
  <c r="I43" i="18"/>
  <c r="E44" i="18"/>
  <c r="Q11" i="18"/>
  <c r="I7" i="19"/>
  <c r="E89" i="19" s="1"/>
  <c r="O7" i="19"/>
  <c r="G89" i="19" s="1"/>
  <c r="D33" i="19"/>
  <c r="O74" i="19" s="1"/>
  <c r="D29" i="19"/>
  <c r="O72" i="19" s="1"/>
  <c r="K57" i="19"/>
  <c r="C7" i="19"/>
  <c r="O66" i="19" s="1"/>
  <c r="E117" i="19" s="1"/>
  <c r="G99" i="19"/>
  <c r="G104" i="19"/>
  <c r="K15" i="19"/>
  <c r="E105" i="19" s="1"/>
  <c r="E98" i="19"/>
  <c r="E103" i="19"/>
  <c r="D36" i="19"/>
  <c r="I18" i="19"/>
  <c r="E93" i="19" s="1"/>
  <c r="E18" i="19"/>
  <c r="E94" i="19" s="1"/>
  <c r="P22" i="19"/>
  <c r="O22" i="19"/>
  <c r="I22" i="19"/>
  <c r="K22" i="19" s="1"/>
  <c r="G22" i="19"/>
  <c r="E22" i="19"/>
  <c r="C22" i="19"/>
  <c r="B22" i="19"/>
  <c r="P21" i="19"/>
  <c r="O21" i="19"/>
  <c r="I21" i="19"/>
  <c r="K21" i="19" s="1"/>
  <c r="G21" i="19"/>
  <c r="E21" i="19"/>
  <c r="C21" i="19"/>
  <c r="B21" i="19"/>
  <c r="P19" i="19"/>
  <c r="O19" i="19"/>
  <c r="I19" i="19"/>
  <c r="K19" i="19" s="1"/>
  <c r="G19" i="19"/>
  <c r="E19" i="19"/>
  <c r="C19" i="19"/>
  <c r="B19" i="19"/>
  <c r="P18" i="19"/>
  <c r="O18" i="19"/>
  <c r="G93" i="19" s="1"/>
  <c r="G18" i="19"/>
  <c r="C18" i="19"/>
  <c r="D92" i="19" s="1"/>
  <c r="B18" i="19"/>
  <c r="K8" i="19"/>
  <c r="Q116" i="19"/>
  <c r="S113" i="22"/>
  <c r="S112" i="22" s="1"/>
  <c r="B159" i="26"/>
  <c r="B158" i="26"/>
  <c r="D34" i="19"/>
  <c r="D35" i="19"/>
  <c r="G116" i="19"/>
  <c r="G115" i="19"/>
  <c r="G114" i="19"/>
  <c r="K14" i="19"/>
  <c r="K13" i="19"/>
  <c r="B14" i="19"/>
  <c r="B15" i="19"/>
  <c r="B9" i="19"/>
  <c r="B10" i="19"/>
  <c r="B8" i="19"/>
  <c r="P7" i="19"/>
  <c r="G7" i="19"/>
  <c r="E7" i="19"/>
  <c r="B7" i="19"/>
  <c r="C111" i="26"/>
  <c r="I95" i="26"/>
  <c r="I94" i="26"/>
  <c r="D95" i="26"/>
  <c r="D94" i="26"/>
  <c r="E20" i="26"/>
  <c r="E24" i="26"/>
  <c r="E19" i="26"/>
  <c r="E18" i="26"/>
  <c r="D39" i="19"/>
  <c r="J7" i="18"/>
  <c r="I19" i="18"/>
  <c r="K22" i="18" s="1"/>
  <c r="I20" i="18"/>
  <c r="J22" i="18" s="1"/>
  <c r="J21" i="18"/>
  <c r="B12" i="18"/>
  <c r="G111" i="19"/>
  <c r="H111" i="19" s="1"/>
  <c r="G110" i="19"/>
  <c r="K25" i="22"/>
  <c r="G109" i="19"/>
  <c r="G108" i="19"/>
  <c r="G106" i="19"/>
  <c r="F106" i="19"/>
  <c r="G105" i="19"/>
  <c r="F105" i="19"/>
  <c r="F104" i="19"/>
  <c r="G103" i="19"/>
  <c r="F103" i="19"/>
  <c r="F102" i="19"/>
  <c r="E102" i="19"/>
  <c r="G101" i="19"/>
  <c r="F101" i="19"/>
  <c r="G100" i="19"/>
  <c r="F100" i="19"/>
  <c r="F99" i="19"/>
  <c r="G98" i="19"/>
  <c r="F95" i="19"/>
  <c r="I95" i="19" s="1"/>
  <c r="G94" i="19"/>
  <c r="F94" i="19"/>
  <c r="I94" i="19" s="1"/>
  <c r="F93" i="19"/>
  <c r="I93" i="19" s="1"/>
  <c r="G90" i="19"/>
  <c r="K90" i="19"/>
  <c r="I90" i="19"/>
  <c r="K89" i="19"/>
  <c r="D32" i="19"/>
  <c r="D31" i="19"/>
  <c r="D30" i="19"/>
  <c r="D28" i="19"/>
  <c r="D27" i="19"/>
  <c r="D26" i="19"/>
  <c r="K26" i="22"/>
  <c r="E47" i="18"/>
  <c r="G48" i="18"/>
  <c r="J47" i="18"/>
  <c r="I45" i="18"/>
  <c r="I49" i="18" s="1"/>
  <c r="G47" i="18"/>
  <c r="H47" i="18" s="1"/>
  <c r="L47" i="18" s="1"/>
  <c r="N47" i="18" s="1"/>
  <c r="J45" i="18"/>
  <c r="G45" i="18"/>
  <c r="E45" i="18"/>
  <c r="I44" i="18"/>
  <c r="F19" i="18"/>
  <c r="F20" i="18"/>
  <c r="V20" i="18"/>
  <c r="V19" i="18"/>
  <c r="V18" i="18"/>
  <c r="D44" i="18" s="1"/>
  <c r="I12" i="18"/>
  <c r="K55" i="19"/>
  <c r="H45" i="18" l="1"/>
  <c r="A109" i="26"/>
  <c r="F36" i="19"/>
  <c r="J95" i="19"/>
  <c r="J93" i="19"/>
  <c r="J94" i="19"/>
  <c r="I48" i="18"/>
  <c r="J19" i="18"/>
  <c r="K20" i="18" s="1"/>
  <c r="I47" i="18"/>
  <c r="C109" i="26"/>
  <c r="E25" i="26"/>
  <c r="P20" i="18"/>
  <c r="P76" i="19"/>
  <c r="L45" i="18"/>
  <c r="N45" i="18" s="1"/>
  <c r="P21" i="18"/>
  <c r="C22" i="18"/>
  <c r="M47" i="19"/>
  <c r="P70" i="19" s="1"/>
  <c r="K74" i="19" s="1"/>
  <c r="J110" i="19" s="1"/>
  <c r="A111" i="26"/>
  <c r="K9" i="19"/>
  <c r="E100" i="19" s="1"/>
  <c r="H100" i="19" s="1"/>
  <c r="C21" i="18"/>
  <c r="E48" i="18" s="1"/>
  <c r="H48" i="18" s="1"/>
  <c r="L48" i="18" s="1"/>
  <c r="N48" i="18" s="1"/>
  <c r="H103" i="19"/>
  <c r="H94" i="19"/>
  <c r="H98" i="19"/>
  <c r="H110" i="19"/>
  <c r="H105" i="19"/>
  <c r="O30" i="19"/>
  <c r="O31" i="19" s="1"/>
  <c r="E90" i="19"/>
  <c r="H90" i="19" s="1"/>
  <c r="D88" i="19"/>
  <c r="A110" i="26"/>
  <c r="O18" i="18"/>
  <c r="M20" i="18" s="1"/>
  <c r="T12" i="18" s="1"/>
  <c r="U12" i="18" s="1"/>
  <c r="V12" i="18" s="1"/>
  <c r="E114" i="19"/>
  <c r="H114" i="19" s="1"/>
  <c r="L114" i="19" s="1"/>
  <c r="N114" i="19" s="1"/>
  <c r="J111" i="19"/>
  <c r="L111" i="19" s="1"/>
  <c r="N111" i="19" s="1"/>
  <c r="E109" i="19"/>
  <c r="H109" i="19" s="1"/>
  <c r="K26" i="18"/>
  <c r="K30" i="18"/>
  <c r="K32" i="18" s="1"/>
  <c r="H99" i="19"/>
  <c r="H104" i="19"/>
  <c r="K18" i="19"/>
  <c r="H89" i="19"/>
  <c r="E115" i="19"/>
  <c r="H115" i="19" s="1"/>
  <c r="L115" i="19" s="1"/>
  <c r="N115" i="19" s="1"/>
  <c r="K58" i="19"/>
  <c r="D37" i="19" s="1"/>
  <c r="H93" i="19"/>
  <c r="G47" i="19"/>
  <c r="E106" i="19"/>
  <c r="H106" i="19" s="1"/>
  <c r="D103" i="19"/>
  <c r="E101" i="19"/>
  <c r="H101" i="19" s="1"/>
  <c r="H43" i="18"/>
  <c r="D43" i="18"/>
  <c r="G57" i="19"/>
  <c r="H57" i="19" s="1"/>
  <c r="G55" i="19"/>
  <c r="H55" i="19" s="1"/>
  <c r="G56" i="19"/>
  <c r="H56" i="19" s="1"/>
  <c r="G32" i="22" l="1"/>
  <c r="G31" i="22"/>
  <c r="I25" i="22"/>
  <c r="C110" i="26"/>
  <c r="I15" i="22"/>
  <c r="F32" i="30" s="1"/>
  <c r="F31" i="19"/>
  <c r="Q21" i="18"/>
  <c r="H44" i="18" s="1"/>
  <c r="L44" i="18" s="1"/>
  <c r="N44" i="18" s="1"/>
  <c r="O28" i="19"/>
  <c r="D102" i="19"/>
  <c r="L110" i="19"/>
  <c r="N110" i="19" s="1"/>
  <c r="M19" i="18"/>
  <c r="T11" i="18" s="1"/>
  <c r="U11" i="18" s="1"/>
  <c r="V11" i="18" s="1"/>
  <c r="M21" i="18"/>
  <c r="T13" i="18" s="1"/>
  <c r="U13" i="18" s="1"/>
  <c r="V13" i="18" s="1"/>
  <c r="O29" i="19"/>
  <c r="O27" i="19"/>
  <c r="L93" i="19"/>
  <c r="N93" i="19" s="1"/>
  <c r="L94" i="19"/>
  <c r="N94" i="19" s="1"/>
  <c r="G95" i="19"/>
  <c r="E95" i="19"/>
  <c r="O68" i="19"/>
  <c r="D97" i="19"/>
  <c r="E97" i="19"/>
  <c r="E108" i="19"/>
  <c r="H108" i="19" s="1"/>
  <c r="E107" i="19"/>
  <c r="O78" i="19"/>
  <c r="D107" i="19"/>
  <c r="F37" i="19"/>
  <c r="P78" i="19" s="1"/>
  <c r="L43" i="18"/>
  <c r="N43" i="18" s="1"/>
  <c r="H58" i="19"/>
  <c r="H59" i="19"/>
  <c r="I26" i="22" l="1"/>
  <c r="F32" i="19"/>
  <c r="U15" i="18"/>
  <c r="U16" i="18" s="1"/>
  <c r="U14" i="18"/>
  <c r="D42" i="18" s="1"/>
  <c r="H95" i="19"/>
  <c r="L95" i="19" s="1"/>
  <c r="N95" i="19" s="1"/>
  <c r="K68" i="19"/>
  <c r="K70" i="19"/>
  <c r="H117" i="19"/>
  <c r="L117" i="19" s="1"/>
  <c r="N117" i="19" s="1"/>
  <c r="K66" i="19"/>
  <c r="K72" i="19"/>
  <c r="J109" i="19" s="1"/>
  <c r="L109" i="19" s="1"/>
  <c r="N109" i="19" s="1"/>
  <c r="K76" i="19"/>
  <c r="J108" i="19" s="1"/>
  <c r="L108" i="19" s="1"/>
  <c r="N108" i="19" s="1"/>
  <c r="V15" i="18"/>
  <c r="V16" i="18" s="1"/>
  <c r="H49" i="18" s="1"/>
  <c r="L49" i="18" s="1"/>
  <c r="N49" i="18" s="1"/>
  <c r="N50" i="18" s="1"/>
  <c r="V14" i="18"/>
  <c r="C56" i="18" s="1"/>
  <c r="E116" i="19"/>
  <c r="H116" i="19" s="1"/>
  <c r="L116" i="19" s="1"/>
  <c r="H60" i="19"/>
  <c r="P30" i="19"/>
  <c r="C121" i="19"/>
  <c r="C124" i="19" s="1"/>
  <c r="F109" i="26" l="1"/>
  <c r="F114" i="26" s="1"/>
  <c r="C57" i="18"/>
  <c r="D57" i="18" s="1"/>
  <c r="D58" i="18" s="1"/>
  <c r="D121" i="26"/>
  <c r="D56" i="18"/>
  <c r="F56" i="18" s="1"/>
  <c r="J89" i="19"/>
  <c r="L89" i="19" s="1"/>
  <c r="N89" i="19" s="1"/>
  <c r="J90" i="19"/>
  <c r="L90" i="19" s="1"/>
  <c r="N90" i="19" s="1"/>
  <c r="J106" i="19"/>
  <c r="L106" i="19" s="1"/>
  <c r="N106" i="19" s="1"/>
  <c r="J104" i="19"/>
  <c r="L104" i="19" s="1"/>
  <c r="N104" i="19" s="1"/>
  <c r="J105" i="19"/>
  <c r="L105" i="19" s="1"/>
  <c r="N105" i="19" s="1"/>
  <c r="J103" i="19"/>
  <c r="L103" i="19" s="1"/>
  <c r="N103" i="19" s="1"/>
  <c r="J98" i="19"/>
  <c r="L98" i="19" s="1"/>
  <c r="N98" i="19" s="1"/>
  <c r="J101" i="19"/>
  <c r="L101" i="19" s="1"/>
  <c r="N101" i="19" s="1"/>
  <c r="J99" i="19"/>
  <c r="L99" i="19" s="1"/>
  <c r="N99" i="19" s="1"/>
  <c r="J100" i="19"/>
  <c r="L100" i="19" s="1"/>
  <c r="N100" i="19" s="1"/>
  <c r="N53" i="18"/>
  <c r="C122" i="19"/>
  <c r="H121" i="19"/>
  <c r="P31" i="19"/>
  <c r="Q31" i="19" s="1"/>
  <c r="R31" i="19" s="1"/>
  <c r="P27" i="19"/>
  <c r="Q27" i="19" s="1"/>
  <c r="R27" i="19" s="1"/>
  <c r="P28" i="19"/>
  <c r="Q28" i="19" s="1"/>
  <c r="R28" i="19" s="1"/>
  <c r="Q56" i="19" s="1"/>
  <c r="P29" i="19"/>
  <c r="Q29" i="19" s="1"/>
  <c r="R29" i="19" s="1"/>
  <c r="Q30" i="19"/>
  <c r="R30" i="19" s="1"/>
  <c r="Q54" i="19" s="1"/>
  <c r="N116" i="19"/>
  <c r="N124" i="19" l="1"/>
  <c r="O124" i="19" s="1"/>
  <c r="N125" i="19"/>
  <c r="D122" i="26"/>
  <c r="C58" i="18"/>
  <c r="F121" i="26"/>
  <c r="N118" i="19"/>
  <c r="P53" i="18"/>
  <c r="O53" i="18"/>
  <c r="N51" i="18" s="1"/>
  <c r="C123" i="19"/>
  <c r="F110" i="26"/>
  <c r="Q55" i="19"/>
  <c r="Q57" i="19"/>
  <c r="H122" i="19"/>
  <c r="I121" i="19"/>
  <c r="D123" i="26" l="1"/>
  <c r="F111" i="26"/>
  <c r="D121" i="19"/>
  <c r="N119" i="19"/>
  <c r="N120" i="19"/>
  <c r="N123" i="19" s="1"/>
  <c r="F57" i="18"/>
  <c r="I122" i="19"/>
  <c r="H123" i="19"/>
  <c r="I123" i="19" l="1"/>
  <c r="I124" i="19" s="1"/>
  <c r="H124" i="19"/>
  <c r="F58" i="18"/>
  <c r="F122" i="26"/>
  <c r="D122" i="19"/>
  <c r="F121" i="19"/>
  <c r="M123" i="19"/>
  <c r="F123" i="26" l="1"/>
  <c r="H109" i="26"/>
  <c r="D123" i="19"/>
  <c r="F122" i="19"/>
  <c r="J121" i="19"/>
  <c r="F123" i="19" l="1"/>
  <c r="H111" i="26" s="1"/>
  <c r="D124" i="19"/>
  <c r="F124" i="19" s="1"/>
  <c r="H110" i="26"/>
  <c r="J122" i="19"/>
  <c r="J123" i="19" l="1"/>
  <c r="J124" i="19" s="1"/>
</calcChain>
</file>

<file path=xl/sharedStrings.xml><?xml version="1.0" encoding="utf-8"?>
<sst xmlns="http://schemas.openxmlformats.org/spreadsheetml/2006/main" count="1880" uniqueCount="625">
  <si>
    <t>RVC</t>
  </si>
  <si>
    <t>RVP</t>
  </si>
  <si>
    <t>Promedio</t>
  </si>
  <si>
    <t>°C</t>
  </si>
  <si>
    <t>mL</t>
  </si>
  <si>
    <t>Rectangular</t>
  </si>
  <si>
    <t>Euramet 21</t>
  </si>
  <si>
    <t>U</t>
  </si>
  <si>
    <t>E</t>
  </si>
  <si>
    <t>gal</t>
  </si>
  <si>
    <t>1/°C</t>
  </si>
  <si>
    <t>∞</t>
  </si>
  <si>
    <t xml:space="preserve"> </t>
  </si>
  <si>
    <t>cm</t>
  </si>
  <si>
    <t>NOMBRE</t>
  </si>
  <si>
    <t>CORRECCIÓN</t>
  </si>
  <si>
    <t>hPa</t>
  </si>
  <si>
    <t>Como g ej &gt; 50  =&gt;para 95%</t>
  </si>
  <si>
    <t>Euramet 19</t>
  </si>
  <si>
    <t>Certificado de calibración</t>
  </si>
  <si>
    <t>Estimación</t>
  </si>
  <si>
    <t>mL°C-1</t>
  </si>
  <si>
    <t>FINAL</t>
  </si>
  <si>
    <t>PROMEDIO</t>
  </si>
  <si>
    <t>E3</t>
  </si>
  <si>
    <t>1 litro</t>
  </si>
  <si>
    <t>1 mililitro</t>
  </si>
  <si>
    <t>Objeto:</t>
  </si>
  <si>
    <t>Número de Serie</t>
  </si>
  <si>
    <t>Fecha de calibración</t>
  </si>
  <si>
    <t>Temperatura</t>
  </si>
  <si>
    <t>Pipeta</t>
  </si>
  <si>
    <t>Temperatura de Referencia</t>
  </si>
  <si>
    <t>Capacidad nominal</t>
  </si>
  <si>
    <t>FIRMAS AUTORIZADAS:</t>
  </si>
  <si>
    <t>____________________________________</t>
  </si>
  <si>
    <t>Firma Autorizada</t>
  </si>
  <si>
    <t>Fecha de elaboración:</t>
  </si>
  <si>
    <t>Dirección</t>
  </si>
  <si>
    <t>Humedad Relativa</t>
  </si>
  <si>
    <t>Presión atmosférica</t>
  </si>
  <si>
    <t>Material de construcción:</t>
  </si>
  <si>
    <t>Resolución:</t>
  </si>
  <si>
    <t>Fabricante</t>
  </si>
  <si>
    <t>Modelo</t>
  </si>
  <si>
    <t>Capacidad del RVC a la temperatura de referencia.</t>
  </si>
  <si>
    <t xml:space="preserve">Donde: </t>
  </si>
  <si>
    <t>Capacidad Nominal en galones</t>
  </si>
  <si>
    <t>Litros</t>
  </si>
  <si>
    <t>Mililitros</t>
  </si>
  <si>
    <t>Información del Cliente</t>
  </si>
  <si>
    <t>Solicitante</t>
  </si>
  <si>
    <t>Ciudad</t>
  </si>
  <si>
    <t xml:space="preserve">Es el coeficiente de expansión térmica del material del RVP. </t>
  </si>
  <si>
    <t>Es la temperatura del líquido medida dentro del  RVP.</t>
  </si>
  <si>
    <t>Es el coeficiente de expansión térmica del agua.</t>
  </si>
  <si>
    <t>Es la temperatura del líquido medida dentro del RVC.</t>
  </si>
  <si>
    <t xml:space="preserve"> Coeficiente de expansión térmica del material del RVC.</t>
  </si>
  <si>
    <t>Temperatura de referencia en el RVC (generalmente 20°C).</t>
  </si>
  <si>
    <t xml:space="preserve">Delta respecto a la lectura del menisco </t>
  </si>
  <si>
    <t>Delta respecto a la repetibilidad de las mediciones</t>
  </si>
  <si>
    <t>Delta respecto a factores adicionales</t>
  </si>
  <si>
    <t>Instrumento</t>
  </si>
  <si>
    <t>No. de Serie</t>
  </si>
  <si>
    <t>Trazabilidad</t>
  </si>
  <si>
    <t>DATOS DE LOS PATRONES</t>
  </si>
  <si>
    <t>Unidad</t>
  </si>
  <si>
    <t xml:space="preserve">Incertidumbre por Deriva </t>
  </si>
  <si>
    <t>ml</t>
  </si>
  <si>
    <t>Termómetro (RVP)</t>
  </si>
  <si>
    <t>Termómetro (RVC)</t>
  </si>
  <si>
    <t>Cronometro</t>
  </si>
  <si>
    <t>Pie de Rey</t>
  </si>
  <si>
    <t>DATOS DE LOS RECIPIENTES</t>
  </si>
  <si>
    <t>Nombre</t>
  </si>
  <si>
    <t>Valor nominal</t>
  </si>
  <si>
    <t>Capacidad del RVP según certificado</t>
  </si>
  <si>
    <t>Volumen calculado en el RVC</t>
  </si>
  <si>
    <t>Diferencia respecto al patrón</t>
  </si>
  <si>
    <t>Serhapin test Measure</t>
  </si>
  <si>
    <t>Series "M"</t>
  </si>
  <si>
    <t>1 galón</t>
  </si>
  <si>
    <t>Hora de Inicio</t>
  </si>
  <si>
    <t>Hora final</t>
  </si>
  <si>
    <t>Temperatura de referencia</t>
  </si>
  <si>
    <t>INICIO</t>
  </si>
  <si>
    <t xml:space="preserve">División de escala  </t>
  </si>
  <si>
    <t xml:space="preserve">Coeficiente cubico de expansión térmico del agua </t>
  </si>
  <si>
    <t>Presión Atmosférica</t>
  </si>
  <si>
    <t>Coeficiente cubico de expansión térmico del material</t>
  </si>
  <si>
    <t>Diámetro interno del cuello</t>
  </si>
  <si>
    <t>Ancho de los trazos de la escala</t>
  </si>
  <si>
    <t>CICLOS DE CALIBRACIÓN</t>
  </si>
  <si>
    <t xml:space="preserve">TOMA DE DATOS DEL RVP </t>
  </si>
  <si>
    <t xml:space="preserve">TOMA DE DATOS DEL RVC </t>
  </si>
  <si>
    <t>Ítem</t>
  </si>
  <si>
    <t>Temperatura liquido °C</t>
  </si>
  <si>
    <t>Vertido (s)</t>
  </si>
  <si>
    <t>Escurrido (s)</t>
  </si>
  <si>
    <t>Total de (V+E) (s)</t>
  </si>
  <si>
    <t>Delta del volumen</t>
  </si>
  <si>
    <t xml:space="preserve">n =                     </t>
  </si>
  <si>
    <t>ANÁLISIS DE CAPACIDAD DE VOLUMEN (RVC) ml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</si>
  <si>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</si>
  <si>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</si>
  <si>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</si>
  <si>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</si>
  <si>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</si>
  <si>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</si>
  <si>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</si>
  <si>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</si>
  <si>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</si>
  <si>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</si>
  <si>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</si>
  <si>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</si>
  <si>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</si>
  <si>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</si>
  <si>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</si>
  <si>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</si>
  <si>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</si>
  <si>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</si>
  <si>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</si>
  <si>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</si>
  <si>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</si>
  <si>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</si>
  <si>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Temperatura del agua en el RVP</t>
  </si>
  <si>
    <t>Resolución termómetro</t>
  </si>
  <si>
    <t>Calibración</t>
  </si>
  <si>
    <t>Inhomogenidad</t>
  </si>
  <si>
    <t>Temperatura del agua en el RVC</t>
  </si>
  <si>
    <t>Calculada</t>
  </si>
  <si>
    <t>Referencia placa</t>
  </si>
  <si>
    <t>Referencia tabla 1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</si>
  <si>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</si>
  <si>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</si>
  <si>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</si>
  <si>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</si>
  <si>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</si>
  <si>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</si>
  <si>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</si>
  <si>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</si>
  <si>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</si>
  <si>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r>
      <t>V</t>
    </r>
    <r>
      <rPr>
        <vertAlign val="subscript"/>
        <sz val="16"/>
        <color theme="1"/>
        <rFont val="Arial"/>
        <family val="2"/>
      </rPr>
      <t>t</t>
    </r>
  </si>
  <si>
    <r>
      <t>u ( V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>)</t>
    </r>
  </si>
  <si>
    <t>│E│</t>
  </si>
  <si>
    <t>U corregida</t>
  </si>
  <si>
    <r>
      <t>in</t>
    </r>
    <r>
      <rPr>
        <vertAlign val="superscript"/>
        <sz val="18"/>
        <color theme="1"/>
        <rFont val="Arial"/>
        <family val="2"/>
      </rPr>
      <t>3</t>
    </r>
  </si>
  <si>
    <t>INTERPOLACION CERTIFICADO DE CALIBRACION</t>
  </si>
  <si>
    <t>ANALISIS DE DATOS INTERPOLACIÓN (mL)</t>
  </si>
  <si>
    <t>Numero de espacios (N)</t>
  </si>
  <si>
    <t>m</t>
  </si>
  <si>
    <t>y</t>
  </si>
  <si>
    <t>x</t>
  </si>
  <si>
    <t>Volumen calculado</t>
  </si>
  <si>
    <t>m     =</t>
  </si>
  <si>
    <t>Volumen nominal</t>
  </si>
  <si>
    <t>Volumen convencional</t>
  </si>
  <si>
    <t>Error</t>
  </si>
  <si>
    <t xml:space="preserve">Incertidumbre por interpolación </t>
  </si>
  <si>
    <t>1    (mm)</t>
  </si>
  <si>
    <t>2    (mm)</t>
  </si>
  <si>
    <t>3    (mm)</t>
  </si>
  <si>
    <t xml:space="preserve">   PROMEDIOS                  (mm)</t>
  </si>
  <si>
    <t>h min</t>
  </si>
  <si>
    <t>Litro</t>
  </si>
  <si>
    <t>Mililitro</t>
  </si>
  <si>
    <t>Respecto a D</t>
  </si>
  <si>
    <t xml:space="preserve">Respecto </t>
  </si>
  <si>
    <t>(ui(y))2</t>
  </si>
  <si>
    <t>Estimada</t>
  </si>
  <si>
    <t>Delta por Inhomogenidad</t>
  </si>
  <si>
    <t>mm</t>
  </si>
  <si>
    <t>Luis Henry Barreto Rojas</t>
  </si>
  <si>
    <r>
      <t>y</t>
    </r>
    <r>
      <rPr>
        <b/>
        <vertAlign val="subscript"/>
        <sz val="12"/>
        <color theme="1"/>
        <rFont val="Arial"/>
        <family val="2"/>
      </rPr>
      <t>3</t>
    </r>
  </si>
  <si>
    <r>
      <t>y</t>
    </r>
    <r>
      <rPr>
        <b/>
        <vertAlign val="subscript"/>
        <sz val="12"/>
        <color theme="1"/>
        <rFont val="Arial"/>
        <family val="2"/>
      </rPr>
      <t>1</t>
    </r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</si>
  <si>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</si>
  <si>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</si>
  <si>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</si>
  <si>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r>
      <t>V</t>
    </r>
    <r>
      <rPr>
        <i/>
        <vertAlign val="subscript"/>
        <sz val="12"/>
        <color theme="1"/>
        <rFont val="Arial"/>
        <family val="2"/>
      </rPr>
      <t>t</t>
    </r>
  </si>
  <si>
    <r>
      <t>V</t>
    </r>
    <r>
      <rPr>
        <i/>
        <vertAlign val="subscript"/>
        <sz val="12"/>
        <color theme="1"/>
        <rFont val="Arial"/>
        <family val="2"/>
      </rPr>
      <t xml:space="preserve">t + </t>
    </r>
    <r>
      <rPr>
        <vertAlign val="subscript"/>
        <sz val="12"/>
        <color theme="1"/>
        <rFont val="Arial"/>
        <family val="2"/>
      </rPr>
      <t>±</t>
    </r>
    <r>
      <rPr>
        <i/>
        <vertAlign val="subscript"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∆V)</t>
    </r>
  </si>
  <si>
    <r>
      <t>°C</t>
    </r>
    <r>
      <rPr>
        <vertAlign val="superscript"/>
        <sz val="10"/>
        <color theme="1"/>
        <rFont val="Arial"/>
        <family val="2"/>
      </rPr>
      <t>-1</t>
    </r>
  </si>
  <si>
    <r>
      <t>Adicionar / Sustraer  (in</t>
    </r>
    <r>
      <rPr>
        <vertAlign val="superscript"/>
        <sz val="14"/>
        <color theme="1"/>
        <rFont val="Arial"/>
        <family val="2"/>
      </rPr>
      <t>3)</t>
    </r>
  </si>
  <si>
    <r>
      <t xml:space="preserve">Promedio   </t>
    </r>
    <r>
      <rPr>
        <b/>
        <i/>
        <sz val="11"/>
        <color theme="0"/>
        <rFont val="Arial"/>
        <family val="2"/>
      </rPr>
      <t>Vt</t>
    </r>
  </si>
  <si>
    <r>
      <t xml:space="preserve">Desviación </t>
    </r>
    <r>
      <rPr>
        <b/>
        <i/>
        <sz val="11"/>
        <color theme="0"/>
        <rFont val="Arial"/>
        <family val="2"/>
      </rPr>
      <t>s  Vt</t>
    </r>
  </si>
  <si>
    <r>
      <t xml:space="preserve">Valor Estimado </t>
    </r>
    <r>
      <rPr>
        <b/>
        <i/>
        <sz val="12"/>
        <color theme="1"/>
        <rFont val="Arial"/>
        <family val="2"/>
      </rPr>
      <t>X</t>
    </r>
    <r>
      <rPr>
        <b/>
        <i/>
        <vertAlign val="subscript"/>
        <sz val="12"/>
        <color theme="1"/>
        <rFont val="Arial"/>
        <family val="2"/>
      </rPr>
      <t>i</t>
    </r>
  </si>
  <si>
    <t>Incertidumbre del Certificado</t>
  </si>
  <si>
    <t>Fecha de Calibración</t>
  </si>
  <si>
    <t>División de Escala / Resolución</t>
  </si>
  <si>
    <t>Identificación             /  
Serie</t>
  </si>
  <si>
    <r>
      <t xml:space="preserve">Corrección </t>
    </r>
    <r>
      <rPr>
        <b/>
        <sz val="7"/>
        <color theme="1"/>
        <rFont val="Arial"/>
        <family val="2"/>
      </rPr>
      <t>(Según Certificado)</t>
    </r>
  </si>
  <si>
    <r>
      <t xml:space="preserve">Capacidad            </t>
    </r>
    <r>
      <rPr>
        <b/>
        <sz val="8"/>
        <color theme="1"/>
        <rFont val="Arial"/>
        <family val="2"/>
      </rPr>
      <t>(Según Certificado)</t>
    </r>
  </si>
  <si>
    <r>
      <t xml:space="preserve">Factor de Cobertura </t>
    </r>
    <r>
      <rPr>
        <b/>
        <sz val="8"/>
        <color theme="1"/>
        <rFont val="Arial"/>
        <family val="2"/>
      </rPr>
      <t>(Según Certificado)</t>
    </r>
  </si>
  <si>
    <t>Coeficiente cubico de expansión térmico del material (IP)</t>
  </si>
  <si>
    <t>s</t>
  </si>
  <si>
    <t xml:space="preserve">Coeficiente de expansión térmica del agua   ß </t>
  </si>
  <si>
    <t xml:space="preserve">Pipeta </t>
  </si>
  <si>
    <t xml:space="preserve">Probeta </t>
  </si>
  <si>
    <t>Recipientes Volumetricos Patrón</t>
  </si>
  <si>
    <t>Termohigrometros</t>
  </si>
  <si>
    <t>Pipetas</t>
  </si>
  <si>
    <t>Probetas</t>
  </si>
  <si>
    <t>Cronometros</t>
  </si>
  <si>
    <t>Fecha de Recepción</t>
  </si>
  <si>
    <t>Lugar de Calibración</t>
  </si>
  <si>
    <t>Codigo interno</t>
  </si>
  <si>
    <t>Certificado</t>
  </si>
  <si>
    <t>100.27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</si>
  <si>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</si>
  <si>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</si>
  <si>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</si>
  <si>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</si>
  <si>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</si>
  <si>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</si>
  <si>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 xml:space="preserve">Puntos para Interpolar según  Certificado </t>
  </si>
  <si>
    <t>Serie</t>
  </si>
  <si>
    <t>Capacidad Nominal en  " gal "</t>
  </si>
  <si>
    <t>Resolución</t>
  </si>
  <si>
    <t>NOMBRE DEL METRÓLOGO</t>
  </si>
  <si>
    <t>Respecto al Coeficiente cubico de expansión térmico del material del " RVC "</t>
  </si>
  <si>
    <t>Respecto al Coeficiente cubico de expansión térmico del material del  " RVP "</t>
  </si>
  <si>
    <t>Respecto al volumen de referencia del  " RVP "</t>
  </si>
  <si>
    <t>Respecto a la temperatura del líquido en el  " RVP "</t>
  </si>
  <si>
    <t>Respecto ala temperatura del liquido en el  " RVC "</t>
  </si>
  <si>
    <t>Pipeta   " IP "</t>
  </si>
  <si>
    <t>Calibración  " IP "</t>
  </si>
  <si>
    <t>Resolución    " IP "</t>
  </si>
  <si>
    <t>Deriva  " IP "</t>
  </si>
  <si>
    <t>V-005</t>
  </si>
  <si>
    <t>V-001</t>
  </si>
  <si>
    <t xml:space="preserve">14-92812                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</si>
  <si>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</si>
  <si>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</si>
  <si>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</si>
  <si>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</si>
  <si>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</si>
  <si>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</si>
  <si>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</si>
  <si>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</si>
  <si>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</si>
  <si>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</si>
  <si>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</si>
  <si>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</si>
  <si>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</si>
  <si>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</si>
  <si>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</si>
  <si>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</si>
  <si>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</si>
  <si>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</si>
  <si>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</si>
  <si>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</si>
  <si>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</si>
  <si>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</si>
  <si>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</si>
  <si>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</si>
  <si>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</si>
  <si>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</si>
  <si>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Metrologos</t>
  </si>
  <si>
    <t>Elvis Aguirre Romero</t>
  </si>
  <si>
    <t>Pedro Jose Vargas Lopéz</t>
  </si>
  <si>
    <t>Arcesio Velandia Carreño</t>
  </si>
  <si>
    <t>Nombre del Metrologo</t>
  </si>
  <si>
    <r>
      <t>x</t>
    </r>
    <r>
      <rPr>
        <b/>
        <vertAlign val="subscript"/>
        <sz val="12"/>
        <color theme="1"/>
        <rFont val="Arial"/>
        <family val="2"/>
      </rPr>
      <t>1</t>
    </r>
  </si>
  <si>
    <r>
      <t>x</t>
    </r>
    <r>
      <rPr>
        <b/>
        <vertAlign val="subscript"/>
        <sz val="12"/>
        <color theme="1"/>
        <rFont val="Arial"/>
        <family val="2"/>
      </rPr>
      <t>2</t>
    </r>
  </si>
  <si>
    <r>
      <t>1 in</t>
    </r>
    <r>
      <rPr>
        <b/>
        <vertAlign val="superscript"/>
        <sz val="12"/>
        <color theme="1"/>
        <rFont val="Arial"/>
        <family val="2"/>
      </rPr>
      <t>3</t>
    </r>
  </si>
  <si>
    <r>
      <t>u (∆D</t>
    </r>
    <r>
      <rPr>
        <b/>
        <vertAlign val="subscript"/>
        <sz val="12"/>
        <color theme="1"/>
        <rFont val="Arial"/>
        <family val="2"/>
      </rPr>
      <t>inho</t>
    </r>
    <r>
      <rPr>
        <b/>
        <sz val="12"/>
        <color theme="1"/>
        <rFont val="Arial"/>
        <family val="2"/>
      </rPr>
      <t xml:space="preserve">) </t>
    </r>
    <r>
      <rPr>
        <b/>
        <vertAlign val="subscript"/>
        <sz val="12"/>
        <color theme="1"/>
        <rFont val="Arial"/>
        <family val="2"/>
      </rPr>
      <t xml:space="preserve"> (mL)</t>
    </r>
  </si>
  <si>
    <r>
      <t>in</t>
    </r>
    <r>
      <rPr>
        <vertAlign val="superscript"/>
        <sz val="12"/>
        <color theme="1"/>
        <rFont val="Arial"/>
        <family val="2"/>
      </rPr>
      <t>3</t>
    </r>
  </si>
  <si>
    <t xml:space="preserve">°C </t>
  </si>
  <si>
    <r>
      <t>División de escala   (in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  <r>
      <rPr>
        <b/>
        <vertAlign val="superscript"/>
        <sz val="10"/>
        <color theme="1"/>
        <rFont val="Arial"/>
        <family val="2"/>
      </rPr>
      <t xml:space="preserve"> </t>
    </r>
  </si>
  <si>
    <t>Verificaión de Escala</t>
  </si>
  <si>
    <r>
      <t xml:space="preserve">0,5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</si>
  <si>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r>
      <t xml:space="preserve">1 </t>
    </r>
    <r>
      <rPr>
        <b/>
        <vertAlign val="superscript"/>
        <sz val="12"/>
        <color theme="1"/>
        <rFont val="Arial"/>
        <family val="2"/>
      </rPr>
      <t xml:space="preserve">   </t>
    </r>
    <r>
      <rPr>
        <b/>
        <sz val="12"/>
        <color theme="1"/>
        <rFont val="Arial"/>
        <family val="2"/>
      </rPr>
      <t>=</t>
    </r>
  </si>
  <si>
    <t># de Espacios</t>
  </si>
  <si>
    <t>Capacidad Nomimal y según certificado</t>
  </si>
  <si>
    <t>Nominal</t>
  </si>
  <si>
    <r>
      <t>D</t>
    </r>
    <r>
      <rPr>
        <b/>
        <vertAlign val="subscript"/>
        <sz val="14"/>
        <color rgb="FFFFFFFF"/>
        <rFont val="Arial"/>
        <family val="2"/>
      </rPr>
      <t>promedio</t>
    </r>
  </si>
  <si>
    <r>
      <t>INTERVALO DE LA ESCALA DEL RV  EN  ±10 in</t>
    </r>
    <r>
      <rPr>
        <b/>
        <vertAlign val="superscript"/>
        <sz val="14"/>
        <color rgb="FFFFFFFF"/>
        <rFont val="Arial"/>
        <family val="2"/>
      </rPr>
      <t>3</t>
    </r>
  </si>
  <si>
    <t>Magnitud de entrada</t>
  </si>
  <si>
    <t>Valor estimado (xi)</t>
  </si>
  <si>
    <t>Incertidumbre original</t>
  </si>
  <si>
    <t>Contribución ui(y)</t>
  </si>
  <si>
    <t>Tipo de Distribución</t>
  </si>
  <si>
    <t>Unidades en   " mL "</t>
  </si>
  <si>
    <t>Identificación / serie</t>
  </si>
  <si>
    <t>Capacidad (Según Certificado)</t>
  </si>
  <si>
    <t>Identificación / Serie</t>
  </si>
  <si>
    <t>Capacidad  (Según Certificado)</t>
  </si>
  <si>
    <t>División de escala nominal:</t>
  </si>
  <si>
    <t>La escala fue verificada:</t>
  </si>
  <si>
    <t>…………………..Fin de este documento………………………</t>
  </si>
  <si>
    <t>Lufft Opus 20</t>
  </si>
  <si>
    <t>Brand</t>
  </si>
  <si>
    <t>Lms Germany</t>
  </si>
  <si>
    <t>MC</t>
  </si>
  <si>
    <t>Simax</t>
  </si>
  <si>
    <t>Mitutoyo</t>
  </si>
  <si>
    <t>Procal.c</t>
  </si>
  <si>
    <t>V-12</t>
  </si>
  <si>
    <t xml:space="preserve">Lufft </t>
  </si>
  <si>
    <t>INM 2286</t>
  </si>
  <si>
    <t>INM (S)1725</t>
  </si>
  <si>
    <t>Trazabilidad y numero</t>
  </si>
  <si>
    <t>Observaciones</t>
  </si>
  <si>
    <t>Intervalo de Medición</t>
  </si>
  <si>
    <t>A</t>
  </si>
  <si>
    <r>
      <t>in</t>
    </r>
    <r>
      <rPr>
        <vertAlign val="superscript"/>
        <sz val="14"/>
        <color theme="1"/>
        <rFont val="Arial"/>
        <family val="2"/>
      </rPr>
      <t>3</t>
    </r>
  </si>
  <si>
    <t>Volumen Indicado Vsp</t>
  </si>
  <si>
    <t xml:space="preserve"> Capacidad según certificado       </t>
  </si>
  <si>
    <t xml:space="preserve">V suministrado al  RVC con probeta patrón           </t>
  </si>
  <si>
    <t>División de escala calculada al RVC        D=Vsp/N</t>
  </si>
  <si>
    <t>CONVERSIÓN</t>
  </si>
  <si>
    <t>Capacidad Nominal mL</t>
  </si>
  <si>
    <r>
      <t xml:space="preserve">Capacidad </t>
    </r>
    <r>
      <rPr>
        <b/>
        <sz val="8"/>
        <color theme="1"/>
        <rFont val="Arial"/>
        <family val="2"/>
      </rPr>
      <t>(Según Certificado) mL</t>
    </r>
  </si>
  <si>
    <t>División de Escala / Resolución mL</t>
  </si>
  <si>
    <r>
      <t xml:space="preserve">Corrección </t>
    </r>
    <r>
      <rPr>
        <b/>
        <sz val="7"/>
        <color theme="1"/>
        <rFont val="Arial"/>
        <family val="2"/>
      </rPr>
      <t>(Según Certificado) mL</t>
    </r>
  </si>
  <si>
    <t>Incertidumbre del Certificado mL</t>
  </si>
  <si>
    <r>
      <t xml:space="preserve">                      DATOS PROBETA PATRON                      (V</t>
    </r>
    <r>
      <rPr>
        <b/>
        <vertAlign val="subscript"/>
        <sz val="14"/>
        <color theme="0"/>
        <rFont val="Arial"/>
        <family val="2"/>
      </rPr>
      <t>sp</t>
    </r>
    <r>
      <rPr>
        <b/>
        <sz val="14"/>
        <color theme="0"/>
        <rFont val="Arial"/>
        <family val="2"/>
      </rPr>
      <t>) (mL)</t>
    </r>
  </si>
  <si>
    <t xml:space="preserve"> Director Tecnico y/o Sust SGL</t>
  </si>
  <si>
    <t>Responsable del Sistema de Gestión y/o Sust Dir Tecnico</t>
  </si>
  <si>
    <t>AV</t>
  </si>
  <si>
    <t>LH</t>
  </si>
  <si>
    <t>PV</t>
  </si>
  <si>
    <t>EA</t>
  </si>
  <si>
    <t>Información Inicial</t>
  </si>
  <si>
    <t>Fecha de ingreso al Laboratorio</t>
  </si>
  <si>
    <t xml:space="preserve"> Recipientes Calibrados  en  los  Laboratorios  SIC - (RVC)</t>
  </si>
  <si>
    <t>N °  Certificado Adherido</t>
  </si>
  <si>
    <t>Equipos Patrón</t>
  </si>
  <si>
    <t>Termometro utilizado en el liquido del RVC</t>
  </si>
  <si>
    <t>Termometro utilizado en el liquido del RVP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</si>
  <si>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</si>
  <si>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</si>
  <si>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</si>
  <si>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</si>
  <si>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</si>
  <si>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</si>
  <si>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 xml:space="preserve">  V-002   °C</t>
  </si>
  <si>
    <t xml:space="preserve">  V-002   rH%</t>
  </si>
  <si>
    <t xml:space="preserve">  V-002   hPa</t>
  </si>
  <si>
    <t>M-012   °C</t>
  </si>
  <si>
    <t>M-013   °C</t>
  </si>
  <si>
    <t>M-010   °C</t>
  </si>
  <si>
    <t>M-011   °C</t>
  </si>
  <si>
    <t>M-012   rH%</t>
  </si>
  <si>
    <t>M-013   rH%</t>
  </si>
  <si>
    <t>M-010   rH%</t>
  </si>
  <si>
    <t>M-011   rH%</t>
  </si>
  <si>
    <t>M-012   hPa</t>
  </si>
  <si>
    <t>M-013   hPa</t>
  </si>
  <si>
    <t>M-010   hPa</t>
  </si>
  <si>
    <t>M-011   hPa</t>
  </si>
  <si>
    <t>V-13 Punto 20</t>
  </si>
  <si>
    <t>V-13 Punto 50</t>
  </si>
  <si>
    <t>V-13 Punto 100</t>
  </si>
  <si>
    <t>V-13 Punto 150</t>
  </si>
  <si>
    <t>V-13 Punto 200</t>
  </si>
  <si>
    <t>Metrologo de Volumen y/o Sust Masa</t>
  </si>
  <si>
    <t>Metrologo de Masa y/o Sust Volumen</t>
  </si>
  <si>
    <t>CMC</t>
  </si>
  <si>
    <t>DATOS</t>
  </si>
  <si>
    <t>14-92812</t>
  </si>
  <si>
    <t xml:space="preserve">16-5935702             </t>
  </si>
  <si>
    <t>Unidades en    " mL"</t>
  </si>
  <si>
    <t>INM 2550</t>
  </si>
  <si>
    <t>INM 2549</t>
  </si>
  <si>
    <t>INM  1995</t>
  </si>
  <si>
    <t>INM  1998</t>
  </si>
  <si>
    <t>INM  2149</t>
  </si>
  <si>
    <t>VANSOLIX S.A. CAT-144-16</t>
  </si>
  <si>
    <t>VANSOLIX S.A. CAH-060-16</t>
  </si>
  <si>
    <t>CDT DEL GAS CERT-16-EMP-              1056-2567</t>
  </si>
  <si>
    <t>VANSOLIX S.A. CAT-145-16</t>
  </si>
  <si>
    <t>VANSOLIX S.A. CAH-061-16</t>
  </si>
  <si>
    <t>CDT DEL GAS CERT-16-EMP-              1057-2567</t>
  </si>
  <si>
    <t>INM  1996</t>
  </si>
  <si>
    <t>INM  1999</t>
  </si>
  <si>
    <t>INM 2148</t>
  </si>
  <si>
    <t>INM  1994</t>
  </si>
  <si>
    <t>INM  1997</t>
  </si>
  <si>
    <t>INM  2147</t>
  </si>
  <si>
    <t>INM 1833</t>
  </si>
  <si>
    <t>INM 1832</t>
  </si>
  <si>
    <t>INM 1831</t>
  </si>
  <si>
    <t>INM 2990</t>
  </si>
  <si>
    <t>INM 2981</t>
  </si>
  <si>
    <t>INM 2985</t>
  </si>
  <si>
    <t xml:space="preserve">MLP - 01          </t>
  </si>
  <si>
    <t>INM 2952</t>
  </si>
  <si>
    <t>INM 2953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</si>
  <si>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</si>
  <si>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</si>
  <si>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</si>
  <si>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</si>
  <si>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</si>
  <si>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</si>
  <si>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</si>
  <si>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</si>
  <si>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N/A</t>
  </si>
  <si>
    <t>Capacidad Nominal en      ( gal )</t>
  </si>
  <si>
    <t>Precinto #</t>
  </si>
  <si>
    <t xml:space="preserve">Temperatura </t>
  </si>
  <si>
    <t>%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</si>
  <si>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</si>
  <si>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r>
      <t xml:space="preserve">Division de Escala  in </t>
    </r>
    <r>
      <rPr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</si>
  <si>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</si>
  <si>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0"/>
        <rFont val="Arial"/>
        <family val="2"/>
      </rPr>
      <t>3</t>
    </r>
  </si>
  <si>
    <r>
      <t>0,5 in</t>
    </r>
    <r>
      <rPr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</si>
  <si>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</si>
  <si>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1 in</t>
    </r>
    <r>
      <rPr>
        <vertAlign val="superscript"/>
        <sz val="10"/>
        <rFont val="Arial"/>
        <family val="2"/>
      </rPr>
      <t>3</t>
    </r>
  </si>
  <si>
    <r>
      <t xml:space="preserve">Unidades en   " °C ,  rH%  </t>
    </r>
    <r>
      <rPr>
        <i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hPa " </t>
    </r>
    <r>
      <rPr>
        <sz val="10"/>
        <rFont val="Arial"/>
        <family val="2"/>
      </rPr>
      <t xml:space="preserve"> según corresponda</t>
    </r>
  </si>
  <si>
    <t>Temperatura liquido Corregida °C</t>
  </si>
  <si>
    <t>HOJA DE CÁLCULO PARA CALIBRACIÓN DE RECIPIENTES VOLUMÉTRICOS</t>
  </si>
  <si>
    <t>°C-1</t>
  </si>
  <si>
    <t>No tiene</t>
  </si>
  <si>
    <t>mL°C</t>
  </si>
  <si>
    <t>Bogota</t>
  </si>
  <si>
    <t>Laboratorio Volumen</t>
  </si>
  <si>
    <t>LCV-008-18</t>
  </si>
  <si>
    <t>RNPC</t>
  </si>
  <si>
    <t>Seraphin</t>
  </si>
  <si>
    <t>16-59644-82</t>
  </si>
  <si>
    <t>Patrón Utilizado en la Calibración - Termo higrómetros</t>
  </si>
  <si>
    <t xml:space="preserve">  V-002 </t>
  </si>
  <si>
    <t>0,23.0714.0802.024</t>
  </si>
  <si>
    <t>Humedad</t>
  </si>
  <si>
    <t>Código Interno</t>
  </si>
  <si>
    <t>%Rh</t>
  </si>
  <si>
    <t>V-002</t>
  </si>
  <si>
    <t xml:space="preserve">M-012 </t>
  </si>
  <si>
    <t xml:space="preserve">M-012  </t>
  </si>
  <si>
    <t xml:space="preserve">M-013 </t>
  </si>
  <si>
    <t>INM 3411</t>
  </si>
  <si>
    <t>INM 3412</t>
  </si>
  <si>
    <t>CDT CERT-16-EMP-1057-2567</t>
  </si>
  <si>
    <t xml:space="preserve">M-013  </t>
  </si>
  <si>
    <t xml:space="preserve">M-010 </t>
  </si>
  <si>
    <t>0,26.0714.0802.024</t>
  </si>
  <si>
    <t>M-010</t>
  </si>
  <si>
    <t xml:space="preserve">M-011 </t>
  </si>
  <si>
    <t>0,22.0714.0802.024</t>
  </si>
  <si>
    <t>INM 1997</t>
  </si>
  <si>
    <t>INM 2147</t>
  </si>
  <si>
    <t>M-011</t>
  </si>
  <si>
    <t>Temperatura °C</t>
  </si>
  <si>
    <t>Humedad Relativa %Rh</t>
  </si>
  <si>
    <t>Presión Atmosférica hPa</t>
  </si>
  <si>
    <r>
      <t>mL°C</t>
    </r>
    <r>
      <rPr>
        <b/>
        <i/>
        <vertAlign val="superscript"/>
        <sz val="12"/>
        <color theme="1"/>
        <rFont val="Arial"/>
        <family val="2"/>
      </rPr>
      <t>-1</t>
    </r>
  </si>
  <si>
    <r>
      <t xml:space="preserve">N.C </t>
    </r>
    <r>
      <rPr>
        <b/>
        <i/>
        <sz val="16"/>
        <rFont val="Arial"/>
        <family val="2"/>
      </rPr>
      <t>%</t>
    </r>
  </si>
  <si>
    <r>
      <t xml:space="preserve">N.C </t>
    </r>
    <r>
      <rPr>
        <b/>
        <i/>
        <sz val="12"/>
        <color theme="1"/>
        <rFont val="Arial"/>
        <family val="2"/>
      </rPr>
      <t>%</t>
    </r>
  </si>
  <si>
    <t>Ciudad del Solicitante</t>
  </si>
  <si>
    <t>Carrera 50 # 26-55 piso 5</t>
  </si>
  <si>
    <t xml:space="preserve">Capacidad del RVP, a la temperatura de referencia hasta el trazo que indica su capacidad nominal de 5 galones.  </t>
  </si>
  <si>
    <t xml:space="preserve">Es la temperatura de referencia en el RVP, según certificado .                               </t>
  </si>
  <si>
    <t>3.   CÓDIGO INTERNO</t>
  </si>
  <si>
    <t>Valor Absoluto</t>
  </si>
  <si>
    <t>Corrección por temperatura en el liquido RVP</t>
  </si>
  <si>
    <t>Corrección por temperatura en el liquido RVC</t>
  </si>
  <si>
    <r>
      <t xml:space="preserve">Contribución </t>
    </r>
    <r>
      <rPr>
        <b/>
        <vertAlign val="superscript"/>
        <sz val="10"/>
        <color theme="1"/>
        <rFont val="Arial"/>
        <family val="2"/>
      </rPr>
      <t>2</t>
    </r>
  </si>
  <si>
    <t>Código interno</t>
  </si>
  <si>
    <t>Incertidumbre Estándar Global</t>
  </si>
  <si>
    <t xml:space="preserve">HOJA DE CÁLCULO PARA CALIBRACIÓN DE RECIPIENTES VOLUMÉTRICOS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</si>
  <si>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</si>
  <si>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INM 2267</t>
  </si>
  <si>
    <t>2018-06-14 - / 2018-06-15 -    2018-08-21</t>
  </si>
  <si>
    <t>INM 3411 - INM 3412 -  INM 2267</t>
  </si>
  <si>
    <t>°C m Pendiente</t>
  </si>
  <si>
    <t>°C b Intersección</t>
  </si>
  <si>
    <t>%rH m Pendiente</t>
  </si>
  <si>
    <t>hPa m Pendiente</t>
  </si>
  <si>
    <t>%rH b Intersección</t>
  </si>
  <si>
    <t>hPa b Intersección</t>
  </si>
  <si>
    <t>INM 3688</t>
  </si>
  <si>
    <t>V-003    Punto 4</t>
  </si>
  <si>
    <t>V-003    Punto 5</t>
  </si>
  <si>
    <t>V-004   Punto 4</t>
  </si>
  <si>
    <t>V-004   Punto 5</t>
  </si>
  <si>
    <t>C-I V-004</t>
  </si>
  <si>
    <t>C-I V-003</t>
  </si>
  <si>
    <t>Intervalos Nominal (Min y MAX)</t>
  </si>
  <si>
    <t>Según indica certificado (Min y Max)</t>
  </si>
  <si>
    <t>Tipo de visor:</t>
  </si>
  <si>
    <t>Modelo:</t>
  </si>
  <si>
    <t>INM 3692</t>
  </si>
  <si>
    <t>Fuera de Servicio</t>
  </si>
  <si>
    <t>Metrólogo de Masa y Volumen</t>
  </si>
  <si>
    <t>División de escala  (mL)</t>
  </si>
  <si>
    <t>Resolución (mL)</t>
  </si>
  <si>
    <t>Unidades en   ( mL )</t>
  </si>
  <si>
    <t>AcerosEuramet cg 21 tabla 1</t>
  </si>
  <si>
    <t>Capacidad del RVC</t>
  </si>
  <si>
    <t>Después de ajuste</t>
  </si>
  <si>
    <t>in3</t>
  </si>
  <si>
    <t xml:space="preserve"> ±</t>
  </si>
  <si>
    <t>Termómetro RVP *</t>
  </si>
  <si>
    <t>Termómetro RVC *</t>
  </si>
  <si>
    <t>Deriva (mL)</t>
  </si>
  <si>
    <t>INM (2286) 2016</t>
  </si>
  <si>
    <t>Incertidumbre (U)  del RVP</t>
  </si>
  <si>
    <t>Laboratorio, Numero y Año</t>
  </si>
  <si>
    <t xml:space="preserve"> Recipiente Calibrado  en el  Laboratorio  SIC - (RVC)</t>
  </si>
  <si>
    <t xml:space="preserve">La incertidumbre reportada se ha determinado multiplicando la incertidumbre estándar combinada, por el factor de cobertura K=2,0 con el cual se logra un nivel de confianza de aproximadamente 95,45%. </t>
  </si>
  <si>
    <t>INM 3933</t>
  </si>
  <si>
    <t>INM 3934</t>
  </si>
  <si>
    <t>Incertidumbre dominante</t>
  </si>
  <si>
    <r>
      <t>ALTURAS DE ESPACIOS EN RV  ± 10 in</t>
    </r>
    <r>
      <rPr>
        <b/>
        <vertAlign val="superscript"/>
        <sz val="18"/>
        <color rgb="FFFFFFFF"/>
        <rFont val="Arial"/>
        <family val="2"/>
      </rPr>
      <t xml:space="preserve">3 </t>
    </r>
    <r>
      <rPr>
        <b/>
        <sz val="14"/>
        <color rgb="FFFFFFFF"/>
        <rFont val="Arial"/>
        <family val="2"/>
      </rPr>
      <t xml:space="preserve"> o  ± 1 %</t>
    </r>
    <r>
      <rPr>
        <vertAlign val="superscript"/>
        <sz val="14"/>
        <color rgb="FFFFFFFF"/>
        <rFont val="Arial"/>
        <family val="2"/>
      </rPr>
      <t xml:space="preserve">  </t>
    </r>
  </si>
  <si>
    <t>Limpia</t>
  </si>
  <si>
    <t>Mediciones (cm)</t>
  </si>
  <si>
    <t>TABLA DE CONVERSIÓN                       
Disponible en  https://www.nist.gov/physical-measurement-laboratory/nist-guide-si-appendix-b</t>
  </si>
  <si>
    <r>
      <t>in</t>
    </r>
    <r>
      <rPr>
        <b/>
        <vertAlign val="superscript"/>
        <sz val="18"/>
        <color theme="1"/>
        <rFont val="Arial"/>
        <family val="2"/>
      </rPr>
      <t>3</t>
    </r>
  </si>
  <si>
    <t>SI</t>
  </si>
  <si>
    <t>≤ 0,3</t>
  </si>
  <si>
    <t>K=1,65</t>
  </si>
  <si>
    <t>K= 2,0</t>
  </si>
  <si>
    <t>Resultado</t>
  </si>
  <si>
    <t>Condicional incertidumbre dominante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</si>
  <si>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</si>
  <si>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≥ 0,3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</si>
  <si>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</si>
  <si>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Intervalo de medida</t>
  </si>
  <si>
    <t>18501,0 a 19336,6 mL</t>
  </si>
  <si>
    <t>14°C a 22°C</t>
  </si>
  <si>
    <t>Capacidad nominal:</t>
  </si>
  <si>
    <t>Número de serie:</t>
  </si>
  <si>
    <t>Fabricante:</t>
  </si>
  <si>
    <t>Superficie externa:</t>
  </si>
  <si>
    <t>Superficie interna:</t>
  </si>
  <si>
    <t>Tubo en vidrio</t>
  </si>
  <si>
    <t>Para la calibración del recipiente volumétrico, se utilizó el método  establecido en el documento normativo Euramet cg-21, vr 1.0. (04/2013)</t>
  </si>
  <si>
    <t>5.  CONDICIONES AMBIENTALES</t>
  </si>
  <si>
    <t>6.   INCERTIDUMBRE DE MEDICIÓN</t>
  </si>
  <si>
    <t>7.   TRAZABILIDAD METROLÓGICA</t>
  </si>
  <si>
    <t>9.   SE AJUSTO LA ESCALA</t>
  </si>
  <si>
    <t>División mínima promedio de escala en mililitros, pulgadas y porcentaje:</t>
  </si>
  <si>
    <t>RVP Código Interno</t>
  </si>
  <si>
    <t>Recipientes Volumétricos Patrón</t>
  </si>
  <si>
    <t>Termómetro utilizado en el liquido del RVC</t>
  </si>
  <si>
    <t>Termómetro utilizado en el liquido del RVP</t>
  </si>
  <si>
    <t>Verificación de Escala</t>
  </si>
  <si>
    <t>Material del Recipiente Volumétrico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</si>
  <si>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</si>
  <si>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Datos de la probeta capacidad nominal  según certificado " suministrar" (mL)</t>
  </si>
  <si>
    <t>Según certificado  punto Mínimo</t>
  </si>
  <si>
    <t>Según certificado  punto Máximo</t>
  </si>
  <si>
    <t>Cronómetros</t>
  </si>
  <si>
    <t>Metrólogos</t>
  </si>
  <si>
    <t>Nombre del Metrólogo</t>
  </si>
  <si>
    <t xml:space="preserve"> Director Técnico </t>
  </si>
  <si>
    <t xml:space="preserve"> Sustituto del  Director Técnico</t>
  </si>
  <si>
    <t>Bogotá D.C</t>
  </si>
  <si>
    <t>Laboratorios de calibración de masa y volumen de la SIC</t>
  </si>
  <si>
    <t>Trazabilidad y número</t>
  </si>
  <si>
    <t>Cronómetro</t>
  </si>
  <si>
    <t>Temperatura líquido Corregida °C</t>
  </si>
  <si>
    <t>Temperatura líquido corregida °C</t>
  </si>
  <si>
    <t>Temperatura líquido °C</t>
  </si>
  <si>
    <t>Corrección por temperatura en el líquido RVP</t>
  </si>
  <si>
    <t>Corrección por temperatura en el líquido RVC</t>
  </si>
  <si>
    <t>Coeficiente cubico de expansión térmico del Agua</t>
  </si>
  <si>
    <t>Coeficiente cúbico de expansión térmico del material</t>
  </si>
  <si>
    <t>Coeficiente cúbico de expansión térmico del Agua</t>
  </si>
  <si>
    <t>TABLA DE CONVERSIÓN                      
Disponible en  https://www.nist.gov/physical-measurement-laboratory/nist-guide-si-appendix-b</t>
  </si>
  <si>
    <t>Coeficiente cúbico de expansión térmico del material (IP)</t>
  </si>
  <si>
    <t xml:space="preserve">Coeficiente cúbico de expansión térmico del agua </t>
  </si>
  <si>
    <t>DATOS DE CONDICIONES AMBIENTALES TERMOHIGROMETRO</t>
  </si>
  <si>
    <t>Coeficiente cúbico de  expansión térmico del material</t>
  </si>
  <si>
    <t>Incertidumbre estándar  u(xi)</t>
  </si>
  <si>
    <t>Coeficiente de sensibilidad (ci)</t>
  </si>
  <si>
    <t>Grados de libertad    Vi</t>
  </si>
  <si>
    <t>Volumen suministrado probeta patrón</t>
  </si>
  <si>
    <t>Calibración probeta patrón</t>
  </si>
  <si>
    <t>Lectura probeta patrón</t>
  </si>
  <si>
    <t>Delta de volumen máximo de lectura</t>
  </si>
  <si>
    <t>Delta de volumen mínimo de lectura</t>
  </si>
  <si>
    <t>Delta por método</t>
  </si>
  <si>
    <t>Como g ej. &gt; 50  =&gt;para 95%</t>
  </si>
  <si>
    <t>División de escala</t>
  </si>
  <si>
    <r>
      <rPr>
        <i/>
        <sz val="12"/>
        <color theme="1"/>
        <rFont val="Arial"/>
        <family val="2"/>
      </rPr>
      <t>u</t>
    </r>
    <r>
      <rPr>
        <sz val="12"/>
        <color theme="1"/>
        <rFont val="Arial"/>
        <family val="2"/>
      </rPr>
      <t xml:space="preserve"> división de escala </t>
    </r>
  </si>
  <si>
    <t>Capacidad nominal probeta patrón</t>
  </si>
  <si>
    <t>V Min Indicado probeta patrón     (N)</t>
  </si>
  <si>
    <t>Interpolación VMin Indicado probeta patrón</t>
  </si>
  <si>
    <t>h máx.</t>
  </si>
  <si>
    <r>
      <t>Diferencia de alturas  (D</t>
    </r>
    <r>
      <rPr>
        <b/>
        <vertAlign val="subscript"/>
        <sz val="12"/>
        <color theme="1"/>
        <rFont val="Arial"/>
        <family val="2"/>
      </rPr>
      <t>h</t>
    </r>
    <r>
      <rPr>
        <b/>
        <sz val="12"/>
        <color theme="1"/>
        <rFont val="Arial"/>
        <family val="2"/>
      </rPr>
      <t>)</t>
    </r>
  </si>
  <si>
    <t>TABLA DE CONVERSION                                        
Disponible en  https://www.nist.gov/physical-measurement-laboratory/nist-guide-si-appendix-b</t>
  </si>
  <si>
    <t>Acero inoxidable</t>
  </si>
  <si>
    <t>Recipiente volumétrico</t>
  </si>
  <si>
    <t>Incertidumbre   ± U</t>
  </si>
  <si>
    <r>
      <t>in</t>
    </r>
    <r>
      <rPr>
        <vertAlign val="superscript"/>
        <sz val="10"/>
        <rFont val="Arial"/>
        <family val="2"/>
      </rPr>
      <t>3</t>
    </r>
  </si>
  <si>
    <t xml:space="preserve">HOJA DE CÁLCULO PARA COMPROBACIONES INTERMEDIAS DE RECIPIENTES VOLUMÉTRICOS </t>
  </si>
  <si>
    <t xml:space="preserve">Resultados Finales  </t>
  </si>
  <si>
    <t>Fecha de Ingreso al Laboratorio</t>
  </si>
  <si>
    <t>Lugar de Comprobación</t>
  </si>
  <si>
    <t>Fecha de comprobación</t>
  </si>
  <si>
    <t>Informe de comprobación</t>
  </si>
  <si>
    <t>INM 3998</t>
  </si>
  <si>
    <t>INM 4006</t>
  </si>
  <si>
    <t>INM 2313</t>
  </si>
  <si>
    <t>INM 3997</t>
  </si>
  <si>
    <t>INM 4005</t>
  </si>
  <si>
    <t>INM 2316</t>
  </si>
  <si>
    <t>INM 3985</t>
  </si>
  <si>
    <t>INM 3987</t>
  </si>
  <si>
    <t>INM - 2314</t>
  </si>
  <si>
    <t>INM 3986</t>
  </si>
  <si>
    <t>INM 3988</t>
  </si>
  <si>
    <t>INM 2315</t>
  </si>
  <si>
    <t>CICLOS DE COMPROBACIONES INTERMEDIAS</t>
  </si>
  <si>
    <t>Informe de Comprobación N°</t>
  </si>
  <si>
    <t>Fecha de ingreso</t>
  </si>
  <si>
    <t>1.   INFORMACIÓN DEL EQUIPO SOMETIDO A COMPROBACIÓN</t>
  </si>
  <si>
    <t>2.   LUGAR Y DIRECCIÓN DE COMPROBACIÓN</t>
  </si>
  <si>
    <t xml:space="preserve">4.   MÉTODO DE COMPROBACIÓN UTILIZADO </t>
  </si>
  <si>
    <t>10.   ANÁLISIS DE RESULTADOS</t>
  </si>
  <si>
    <t>Comprobado Por:</t>
  </si>
  <si>
    <t>Las condiciones ambientales promedio corregidas en el laboratorio durante la comprobación fueron las siguientes:</t>
  </si>
  <si>
    <t>8.   RESULTADOS DE LA COMPROBACIÓN INTERMEDIA</t>
  </si>
  <si>
    <t>21/05/2019 / - 23/05/2019 -    15/05/2019</t>
  </si>
  <si>
    <t>INM  3998- 4006-2313</t>
  </si>
  <si>
    <t>21/05/2019 /-  23/05/2019 -/  02/05/2019</t>
  </si>
  <si>
    <t>INM-3997, INM 4005 - INM 2316</t>
  </si>
  <si>
    <t>14/05/2019- 15/05/2019-    15/05/2019</t>
  </si>
  <si>
    <t>INM 3985 - INM 3987 -   INM 2314</t>
  </si>
  <si>
    <t>14/05/2019 -/  15/05/2019 -   15/05/2019</t>
  </si>
  <si>
    <t>INM-3986-INM 3988-INM 2315</t>
  </si>
  <si>
    <t>Lugar de la Comprobación</t>
  </si>
  <si>
    <t>Dirección de la Comprobación</t>
  </si>
  <si>
    <t>Fecha de Comprobación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</si>
</sst>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  <numFmt numFmtId="174" formatCode="0.0000000000"/>
    <numFmt numFmtId="175" formatCode="0.0000E+00"/>
    <numFmt numFmtId="176" formatCode="0.0_ \ &quot;%rH&quot;"/>
    <numFmt numFmtId="177" formatCode="0.0_ \ &quot;hPa&quot;"/>
    <numFmt numFmtId="178" formatCode="0.0_ \ &quot;°C&quot;"/>
    <numFmt numFmtId="179" formatCode="0\ &quot;°C&quot;"/>
    <numFmt numFmtId="180" formatCode="&quot; K=&quot;0.00"/>
    <numFmt numFmtId="181" formatCode="#,##0.0"/>
    <numFmt numFmtId="182" formatCode="#,##0.000"/>
  </numFmts>
  <fonts count="9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vertAlign val="subscript"/>
      <sz val="16"/>
      <color theme="1"/>
      <name val="Arial"/>
      <family val="2"/>
    </font>
    <font>
      <sz val="16"/>
      <color theme="1"/>
      <name val="Arial"/>
      <family val="2"/>
    </font>
    <font>
      <vertAlign val="superscript"/>
      <sz val="18"/>
      <color theme="1"/>
      <name val="Arial"/>
      <family val="2"/>
    </font>
    <font>
      <sz val="12"/>
      <color rgb="FF006100"/>
      <name val="Tahoma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bscript"/>
      <sz val="14"/>
      <color theme="0"/>
      <name val="Arial"/>
      <family val="2"/>
    </font>
    <font>
      <b/>
      <sz val="14"/>
      <color rgb="FFFFFFFF"/>
      <name val="Arial"/>
      <family val="2"/>
    </font>
    <font>
      <b/>
      <vertAlign val="subscript"/>
      <sz val="14"/>
      <color rgb="FFFFFFFF"/>
      <name val="Arial"/>
      <family val="2"/>
    </font>
    <font>
      <b/>
      <vertAlign val="superscript"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color theme="1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b/>
      <i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vertAlign val="superscript"/>
      <sz val="14"/>
      <color rgb="FFFFFFFF"/>
      <name val="Arial"/>
      <family val="2"/>
    </font>
    <font>
      <b/>
      <vertAlign val="superscript"/>
      <sz val="18"/>
      <color rgb="FFFFFFFF"/>
      <name val="Arial"/>
      <family val="2"/>
    </font>
    <font>
      <sz val="11"/>
      <color rgb="FFFFFFFF"/>
      <name val="Arial"/>
      <family val="2"/>
    </font>
    <font>
      <b/>
      <vertAlign val="superscript"/>
      <sz val="18"/>
      <color theme="1"/>
      <name val="Arial"/>
      <family val="2"/>
    </font>
    <font>
      <b/>
      <i/>
      <sz val="12"/>
      <name val="Tahoma"/>
      <family val="2"/>
    </font>
    <font>
      <i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2DC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5FF3CB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4" fillId="10" borderId="0" applyNumberFormat="0" applyBorder="0" applyAlignment="0" applyProtection="0"/>
    <xf numFmtId="0" fontId="21" fillId="22" borderId="8">
      <alignment horizontal="center" vertical="center" wrapText="1"/>
    </xf>
    <xf numFmtId="0" fontId="21" fillId="14" borderId="8">
      <alignment horizontal="center" vertical="center" wrapText="1"/>
    </xf>
    <xf numFmtId="0" fontId="21" fillId="23" borderId="8">
      <alignment horizontal="center" vertical="center" wrapText="1"/>
    </xf>
    <xf numFmtId="0" fontId="9" fillId="2" borderId="0">
      <alignment horizontal="center"/>
    </xf>
    <xf numFmtId="0" fontId="9" fillId="24" borderId="0">
      <alignment horizontal="center"/>
    </xf>
    <xf numFmtId="0" fontId="21" fillId="9" borderId="9">
      <alignment horizontal="center"/>
    </xf>
    <xf numFmtId="0" fontId="78" fillId="10" borderId="0" applyNumberFormat="0" applyBorder="0" applyAlignment="0" applyProtection="0"/>
    <xf numFmtId="2" fontId="21" fillId="28" borderId="42" applyFont="0" applyBorder="0" applyAlignment="0">
      <alignment horizontal="center" vertical="center" wrapText="1"/>
      <protection locked="0"/>
    </xf>
    <xf numFmtId="0" fontId="2" fillId="29" borderId="9" applyBorder="0">
      <alignment horizontal="center" vertical="center"/>
    </xf>
  </cellStyleXfs>
  <cellXfs count="1977">
    <xf numFmtId="0" fontId="0" fillId="0" borderId="0" xfId="0"/>
    <xf numFmtId="0" fontId="21" fillId="2" borderId="7" xfId="0" applyFont="1" applyFill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0" fontId="29" fillId="2" borderId="0" xfId="0" applyFont="1" applyFill="1" applyBorder="1" applyAlignment="1" applyProtection="1">
      <alignment vertical="center" wrapText="1"/>
      <protection hidden="1"/>
    </xf>
    <xf numFmtId="2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1" fillId="5" borderId="3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49" xfId="0" applyFont="1" applyFill="1" applyBorder="1" applyAlignment="1" applyProtection="1">
      <alignment horizontal="center" vertical="center" wrapText="1"/>
      <protection hidden="1"/>
    </xf>
    <xf numFmtId="11" fontId="21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63" xfId="0" applyFont="1" applyFill="1" applyBorder="1" applyAlignment="1" applyProtection="1">
      <alignment horizontal="center" vertical="center" wrapText="1"/>
      <protection hidden="1"/>
    </xf>
    <xf numFmtId="0" fontId="21" fillId="2" borderId="13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vertical="center" wrapText="1"/>
      <protection hidden="1"/>
    </xf>
    <xf numFmtId="0" fontId="21" fillId="2" borderId="34" xfId="0" applyFont="1" applyFill="1" applyBorder="1" applyAlignment="1" applyProtection="1">
      <alignment vertical="center" wrapText="1"/>
      <protection hidden="1"/>
    </xf>
    <xf numFmtId="0" fontId="21" fillId="2" borderId="9" xfId="0" applyFont="1" applyFill="1" applyBorder="1" applyAlignment="1" applyProtection="1">
      <alignment vertical="center" wrapText="1"/>
      <protection hidden="1"/>
    </xf>
    <xf numFmtId="0" fontId="21" fillId="2" borderId="36" xfId="0" applyFont="1" applyFill="1" applyBorder="1" applyAlignment="1" applyProtection="1">
      <alignment vertical="center" wrapText="1"/>
      <protection hidden="1"/>
    </xf>
    <xf numFmtId="0" fontId="38" fillId="5" borderId="34" xfId="0" applyFont="1" applyFill="1" applyBorder="1" applyAlignment="1" applyProtection="1">
      <alignment horizontal="center" vertical="center" wrapText="1"/>
      <protection hidden="1"/>
    </xf>
    <xf numFmtId="166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4" xfId="0" applyFont="1" applyFill="1" applyBorder="1" applyAlignment="1" applyProtection="1">
      <alignment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 wrapText="1"/>
      <protection hidden="1"/>
    </xf>
    <xf numFmtId="0" fontId="38" fillId="2" borderId="34" xfId="0" applyFont="1" applyFill="1" applyBorder="1" applyAlignment="1" applyProtection="1">
      <alignment horizontal="center" vertical="center" wrapText="1"/>
      <protection hidden="1"/>
    </xf>
    <xf numFmtId="11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38" fillId="5" borderId="45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vertical="center" wrapText="1"/>
      <protection hidden="1"/>
    </xf>
    <xf numFmtId="0" fontId="40" fillId="7" borderId="9" xfId="0" applyFont="1" applyFill="1" applyBorder="1" applyAlignment="1" applyProtection="1">
      <alignment horizontal="center" vertical="center" wrapText="1"/>
      <protection hidden="1"/>
    </xf>
    <xf numFmtId="0" fontId="40" fillId="5" borderId="9" xfId="0" applyFont="1" applyFill="1" applyBorder="1" applyAlignment="1" applyProtection="1">
      <alignment horizontal="center" vertical="center" wrapText="1"/>
      <protection hidden="1"/>
    </xf>
    <xf numFmtId="0" fontId="40" fillId="5" borderId="36" xfId="0" applyFont="1" applyFill="1" applyBorder="1" applyAlignment="1" applyProtection="1">
      <alignment horizontal="center" vertical="center" wrapText="1"/>
      <protection hidden="1"/>
    </xf>
    <xf numFmtId="0" fontId="40" fillId="5" borderId="46" xfId="0" applyFont="1" applyFill="1" applyBorder="1" applyAlignment="1" applyProtection="1">
      <alignment horizontal="center"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 wrapText="1"/>
      <protection hidden="1"/>
    </xf>
    <xf numFmtId="0" fontId="40" fillId="5" borderId="39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 wrapText="1"/>
      <protection hidden="1"/>
    </xf>
    <xf numFmtId="0" fontId="21" fillId="9" borderId="0" xfId="0" applyFont="1" applyFill="1" applyAlignment="1" applyProtection="1">
      <alignment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 wrapText="1"/>
      <protection hidden="1"/>
    </xf>
    <xf numFmtId="0" fontId="40" fillId="5" borderId="42" xfId="0" applyFont="1" applyFill="1" applyBorder="1" applyAlignment="1" applyProtection="1">
      <alignment horizontal="center" vertical="center" wrapText="1"/>
      <protection hidden="1"/>
    </xf>
    <xf numFmtId="0" fontId="40" fillId="5" borderId="43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0" fontId="47" fillId="2" borderId="0" xfId="0" applyFont="1" applyFill="1" applyBorder="1" applyAlignment="1" applyProtection="1">
      <alignment vertical="center" wrapText="1"/>
      <protection hidden="1"/>
    </xf>
    <xf numFmtId="2" fontId="21" fillId="2" borderId="0" xfId="0" applyNumberFormat="1" applyFont="1" applyFill="1" applyAlignment="1" applyProtection="1">
      <alignment horizontal="center" vertical="center" wrapText="1"/>
      <protection hidden="1"/>
    </xf>
    <xf numFmtId="167" fontId="21" fillId="2" borderId="0" xfId="0" applyNumberFormat="1" applyFont="1" applyFill="1" applyAlignment="1" applyProtection="1">
      <alignment vertical="center" wrapText="1"/>
      <protection hidden="1"/>
    </xf>
    <xf numFmtId="0" fontId="46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7" fillId="5" borderId="43" xfId="0" applyFont="1" applyFill="1" applyBorder="1" applyAlignment="1" applyProtection="1">
      <alignment horizontal="center" vertical="center" wrapText="1"/>
      <protection hidden="1"/>
    </xf>
    <xf numFmtId="0" fontId="21" fillId="7" borderId="9" xfId="0" applyFont="1" applyFill="1" applyBorder="1" applyAlignment="1" applyProtection="1">
      <alignment horizontal="center" vertical="center" wrapText="1"/>
      <protection hidden="1"/>
    </xf>
    <xf numFmtId="2" fontId="17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7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2" borderId="51" xfId="0" applyFont="1" applyFill="1" applyBorder="1" applyAlignment="1" applyProtection="1">
      <alignment vertical="center" wrapText="1"/>
      <protection hidden="1"/>
    </xf>
    <xf numFmtId="0" fontId="47" fillId="2" borderId="60" xfId="0" applyFont="1" applyFill="1" applyBorder="1" applyAlignment="1" applyProtection="1">
      <alignment horizontal="center" vertical="center" wrapText="1"/>
      <protection hidden="1"/>
    </xf>
    <xf numFmtId="0" fontId="47" fillId="2" borderId="61" xfId="0" applyFont="1" applyFill="1" applyBorder="1" applyAlignment="1" applyProtection="1">
      <alignment horizontal="center" vertical="center" wrapText="1"/>
      <protection hidden="1"/>
    </xf>
    <xf numFmtId="2" fontId="51" fillId="16" borderId="19" xfId="1" applyNumberFormat="1" applyFont="1" applyFill="1" applyBorder="1" applyAlignment="1" applyProtection="1">
      <alignment horizontal="center" vertical="center"/>
      <protection hidden="1"/>
    </xf>
    <xf numFmtId="2" fontId="51" fillId="16" borderId="22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22" xfId="1" applyNumberFormat="1" applyFont="1" applyFill="1" applyBorder="1" applyAlignment="1" applyProtection="1">
      <alignment horizontal="center" vertical="center" wrapText="1"/>
      <protection hidden="1"/>
    </xf>
    <xf numFmtId="164" fontId="21" fillId="7" borderId="34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5" xfId="0" applyNumberFormat="1" applyFont="1" applyFill="1" applyBorder="1" applyAlignment="1" applyProtection="1">
      <alignment horizontal="center" vertical="center" wrapText="1"/>
      <protection hidden="1"/>
    </xf>
    <xf numFmtId="173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21" fillId="26" borderId="4" xfId="0" applyFont="1" applyFill="1" applyBorder="1" applyAlignment="1" applyProtection="1">
      <alignment vertical="center" wrapText="1"/>
      <protection hidden="1"/>
    </xf>
    <xf numFmtId="0" fontId="21" fillId="26" borderId="40" xfId="0" applyFont="1" applyFill="1" applyBorder="1" applyAlignment="1" applyProtection="1">
      <alignment vertical="center" wrapText="1"/>
      <protection hidden="1"/>
    </xf>
    <xf numFmtId="0" fontId="21" fillId="26" borderId="51" xfId="0" applyFont="1" applyFill="1" applyBorder="1" applyAlignment="1" applyProtection="1">
      <alignment vertical="center" wrapText="1"/>
      <protection hidden="1"/>
    </xf>
    <xf numFmtId="0" fontId="21" fillId="26" borderId="2" xfId="0" applyFont="1" applyFill="1" applyBorder="1" applyAlignment="1" applyProtection="1">
      <alignment vertical="center" wrapText="1"/>
      <protection hidden="1"/>
    </xf>
    <xf numFmtId="0" fontId="21" fillId="26" borderId="49" xfId="0" applyFont="1" applyFill="1" applyBorder="1" applyAlignment="1" applyProtection="1">
      <alignment vertical="center" wrapText="1"/>
      <protection hidden="1"/>
    </xf>
    <xf numFmtId="0" fontId="21" fillId="26" borderId="10" xfId="0" applyFont="1" applyFill="1" applyBorder="1" applyAlignment="1" applyProtection="1">
      <alignment vertical="center" wrapText="1"/>
      <protection hidden="1"/>
    </xf>
    <xf numFmtId="0" fontId="21" fillId="26" borderId="72" xfId="0" applyFont="1" applyFill="1" applyBorder="1" applyAlignment="1" applyProtection="1">
      <alignment vertical="center" wrapText="1"/>
      <protection hidden="1"/>
    </xf>
    <xf numFmtId="0" fontId="7" fillId="26" borderId="73" xfId="0" applyFont="1" applyFill="1" applyBorder="1" applyAlignment="1" applyProtection="1">
      <alignment horizontal="center" vertical="center" wrapText="1"/>
      <protection hidden="1"/>
    </xf>
    <xf numFmtId="0" fontId="7" fillId="26" borderId="52" xfId="0" applyFont="1" applyFill="1" applyBorder="1" applyAlignment="1" applyProtection="1">
      <alignment horizontal="center" vertical="center" wrapText="1"/>
      <protection hidden="1"/>
    </xf>
    <xf numFmtId="2" fontId="17" fillId="16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8" xfId="0" applyFont="1" applyBorder="1" applyProtection="1">
      <protection hidden="1"/>
    </xf>
    <xf numFmtId="14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5" borderId="42" xfId="0" applyFont="1" applyFill="1" applyBorder="1" applyAlignment="1" applyProtection="1">
      <alignment horizontal="center" vertical="center" wrapText="1"/>
      <protection hidden="1"/>
    </xf>
    <xf numFmtId="169" fontId="21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2" xfId="0" applyFont="1" applyFill="1" applyBorder="1" applyAlignment="1" applyProtection="1">
      <alignment horizontal="center" vertical="center" wrapText="1"/>
      <protection hidden="1"/>
    </xf>
    <xf numFmtId="0" fontId="21" fillId="2" borderId="30" xfId="0" applyFont="1" applyFill="1" applyBorder="1" applyAlignment="1" applyProtection="1">
      <alignment horizontal="center" vertical="center" wrapText="1"/>
      <protection hidden="1"/>
    </xf>
    <xf numFmtId="166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/>
      <protection hidden="1"/>
    </xf>
    <xf numFmtId="1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4" xfId="0" applyFont="1" applyFill="1" applyBorder="1" applyAlignment="1" applyProtection="1">
      <alignment horizontal="center" vertical="center" wrapText="1"/>
      <protection hidden="1"/>
    </xf>
    <xf numFmtId="1" fontId="21" fillId="15" borderId="9" xfId="0" applyNumberFormat="1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173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173" fontId="21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46" xfId="0" applyFont="1" applyFill="1" applyBorder="1" applyAlignment="1" applyProtection="1">
      <alignment horizontal="center" vertical="center" wrapText="1"/>
      <protection hidden="1"/>
    </xf>
    <xf numFmtId="170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8" xfId="0" applyFont="1" applyFill="1" applyBorder="1" applyAlignment="1" applyProtection="1">
      <alignment horizontal="center" vertical="center" wrapText="1"/>
      <protection hidden="1"/>
    </xf>
    <xf numFmtId="0" fontId="21" fillId="12" borderId="36" xfId="0" applyFont="1" applyFill="1" applyBorder="1" applyAlignment="1" applyProtection="1">
      <alignment horizontal="center" vertical="center" wrapText="1"/>
      <protection hidden="1"/>
    </xf>
    <xf numFmtId="165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2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0" borderId="39" xfId="0" applyFont="1" applyFill="1" applyBorder="1" applyAlignment="1" applyProtection="1">
      <alignment horizontal="center" vertical="center" wrapText="1"/>
      <protection hidden="1"/>
    </xf>
    <xf numFmtId="167" fontId="2" fillId="15" borderId="9" xfId="0" applyNumberFormat="1" applyFont="1" applyFill="1" applyBorder="1" applyAlignment="1" applyProtection="1">
      <alignment horizontal="center" vertical="center" wrapText="1"/>
      <protection hidden="1"/>
    </xf>
    <xf numFmtId="167" fontId="2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7" fillId="16" borderId="19" xfId="0" applyFont="1" applyFill="1" applyBorder="1" applyAlignment="1" applyProtection="1">
      <alignment horizontal="center" vertical="center" wrapText="1"/>
      <protection hidden="1"/>
    </xf>
    <xf numFmtId="11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71" xfId="0" applyFont="1" applyFill="1" applyBorder="1" applyAlignment="1" applyProtection="1">
      <alignment horizontal="center" vertical="center" wrapText="1"/>
      <protection hidden="1"/>
    </xf>
    <xf numFmtId="169" fontId="21" fillId="12" borderId="3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3" xfId="0" applyFont="1" applyFill="1" applyBorder="1" applyAlignment="1" applyProtection="1">
      <alignment vertical="center" wrapText="1"/>
      <protection hidden="1"/>
    </xf>
    <xf numFmtId="2" fontId="21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54" xfId="0" applyFont="1" applyFill="1" applyBorder="1" applyAlignment="1" applyProtection="1">
      <alignment vertical="center" wrapText="1"/>
      <protection hidden="1"/>
    </xf>
    <xf numFmtId="0" fontId="21" fillId="5" borderId="23" xfId="0" applyFont="1" applyFill="1" applyBorder="1" applyAlignment="1" applyProtection="1">
      <alignment vertical="center" wrapText="1"/>
      <protection hidden="1"/>
    </xf>
    <xf numFmtId="0" fontId="21" fillId="5" borderId="14" xfId="0" applyFont="1" applyFill="1" applyBorder="1" applyAlignment="1" applyProtection="1">
      <alignment vertical="center" wrapText="1"/>
      <protection hidden="1"/>
    </xf>
    <xf numFmtId="164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8" fillId="5" borderId="23" xfId="0" applyFont="1" applyFill="1" applyBorder="1" applyAlignment="1" applyProtection="1">
      <alignment vertical="center" wrapText="1"/>
      <protection hidden="1"/>
    </xf>
    <xf numFmtId="0" fontId="39" fillId="5" borderId="23" xfId="0" applyFont="1" applyFill="1" applyBorder="1" applyAlignment="1" applyProtection="1">
      <alignment horizontal="left" vertical="center" wrapText="1"/>
      <protection hidden="1"/>
    </xf>
    <xf numFmtId="1" fontId="21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38" xfId="0" applyFont="1" applyFill="1" applyBorder="1" applyAlignment="1" applyProtection="1">
      <alignment horizontal="center" vertical="center" wrapText="1"/>
      <protection hidden="1"/>
    </xf>
    <xf numFmtId="2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3" xfId="0" applyFont="1" applyFill="1" applyBorder="1" applyAlignment="1" applyProtection="1">
      <alignment horizontal="center" vertical="center" wrapText="1"/>
      <protection hidden="1"/>
    </xf>
    <xf numFmtId="0" fontId="43" fillId="2" borderId="35" xfId="0" applyFont="1" applyFill="1" applyBorder="1" applyAlignment="1" applyProtection="1">
      <alignment horizontal="center" vertical="center" wrapText="1"/>
      <protection hidden="1"/>
    </xf>
    <xf numFmtId="0" fontId="31" fillId="5" borderId="9" xfId="0" applyFont="1" applyFill="1" applyBorder="1" applyAlignment="1" applyProtection="1">
      <alignment vertical="center" wrapText="1"/>
      <protection hidden="1"/>
    </xf>
    <xf numFmtId="14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165" fontId="40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67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7" xfId="0" applyFont="1" applyFill="1" applyBorder="1" applyAlignment="1" applyProtection="1">
      <alignment horizontal="left" vertical="center" wrapText="1"/>
      <protection hidden="1"/>
    </xf>
    <xf numFmtId="0" fontId="31" fillId="0" borderId="14" xfId="0" applyFont="1" applyFill="1" applyBorder="1" applyAlignment="1" applyProtection="1">
      <alignment horizontal="left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23" xfId="0" applyFont="1" applyFill="1" applyBorder="1" applyAlignment="1" applyProtection="1">
      <alignment horizontal="center" vertical="center" wrapText="1"/>
      <protection hidden="1"/>
    </xf>
    <xf numFmtId="14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69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172" fontId="4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5" xfId="0" applyFont="1" applyFill="1" applyBorder="1" applyAlignment="1" applyProtection="1">
      <alignment horizontal="center" vertical="center" wrapText="1"/>
      <protection hidden="1"/>
    </xf>
    <xf numFmtId="166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71" fontId="38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vertic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11" fontId="3" fillId="5" borderId="9" xfId="0" applyNumberFormat="1" applyFont="1" applyFill="1" applyBorder="1" applyAlignment="1" applyProtection="1">
      <alignment horizontal="center" vertical="center" wrapText="1"/>
      <protection hidden="1"/>
    </xf>
    <xf numFmtId="11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45" fillId="5" borderId="9" xfId="0" applyFont="1" applyFill="1" applyBorder="1" applyAlignment="1" applyProtection="1">
      <alignment horizontal="center" vertical="center" wrapText="1"/>
      <protection hidden="1"/>
    </xf>
    <xf numFmtId="169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vertical="center" wrapText="1"/>
      <protection hidden="1"/>
    </xf>
    <xf numFmtId="167" fontId="2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46" xfId="0" applyFont="1" applyFill="1" applyBorder="1" applyAlignment="1" applyProtection="1">
      <alignment horizontal="center" vertical="center" wrapText="1"/>
      <protection locked="0" hidden="1"/>
    </xf>
    <xf numFmtId="0" fontId="2" fillId="6" borderId="9" xfId="0" applyFont="1" applyFill="1" applyBorder="1" applyAlignment="1" applyProtection="1">
      <alignment horizontal="center" vertical="center" wrapText="1"/>
      <protection locked="0" hidden="1"/>
    </xf>
    <xf numFmtId="166" fontId="3" fillId="6" borderId="9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/>
      <protection locked="0" hidden="1"/>
    </xf>
    <xf numFmtId="0" fontId="3" fillId="6" borderId="9" xfId="0" applyFont="1" applyFill="1" applyBorder="1" applyAlignment="1" applyProtection="1">
      <alignment horizontal="center" vertical="center" wrapText="1"/>
      <protection locked="0" hidden="1"/>
    </xf>
    <xf numFmtId="0" fontId="3" fillId="6" borderId="36" xfId="0" applyFont="1" applyFill="1" applyBorder="1" applyAlignment="1" applyProtection="1">
      <alignment horizontal="center" vertical="center" wrapText="1"/>
      <protection locked="0" hidden="1"/>
    </xf>
    <xf numFmtId="0" fontId="3" fillId="6" borderId="39" xfId="0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/>
      <protection locked="0" hidden="1"/>
    </xf>
    <xf numFmtId="14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top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21" fillId="2" borderId="51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 wrapText="1"/>
      <protection hidden="1"/>
    </xf>
    <xf numFmtId="14" fontId="21" fillId="12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12" borderId="12" xfId="0" applyFont="1" applyFill="1" applyBorder="1" applyAlignment="1" applyProtection="1">
      <alignment horizontal="center" vertical="center" wrapText="1"/>
      <protection hidden="1"/>
    </xf>
    <xf numFmtId="0" fontId="21" fillId="12" borderId="18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18" fillId="16" borderId="18" xfId="0" applyFont="1" applyFill="1" applyBorder="1" applyAlignment="1" applyProtection="1">
      <alignment horizontal="center" vertical="center" wrapText="1"/>
      <protection hidden="1"/>
    </xf>
    <xf numFmtId="0" fontId="18" fillId="16" borderId="38" xfId="0" applyFont="1" applyFill="1" applyBorder="1" applyAlignment="1" applyProtection="1">
      <alignment horizontal="center" vertical="center" wrapText="1"/>
      <protection hidden="1"/>
    </xf>
    <xf numFmtId="0" fontId="21" fillId="5" borderId="32" xfId="0" applyFont="1" applyFill="1" applyBorder="1" applyAlignment="1" applyProtection="1">
      <alignment horizontal="center" vertical="center" wrapText="1"/>
      <protection hidden="1"/>
    </xf>
    <xf numFmtId="0" fontId="21" fillId="5" borderId="18" xfId="0" applyFont="1" applyFill="1" applyBorder="1" applyAlignment="1" applyProtection="1">
      <alignment horizontal="center" vertical="center" wrapText="1"/>
      <protection hidden="1"/>
    </xf>
    <xf numFmtId="0" fontId="21" fillId="5" borderId="38" xfId="0" applyFont="1" applyFill="1" applyBorder="1" applyAlignment="1" applyProtection="1">
      <alignment horizontal="center" vertical="center" wrapText="1"/>
      <protection hidden="1"/>
    </xf>
    <xf numFmtId="0" fontId="5" fillId="18" borderId="70" xfId="0" applyFont="1" applyFill="1" applyBorder="1" applyAlignment="1" applyProtection="1">
      <alignment horizontal="center" vertical="center" wrapText="1"/>
      <protection hidden="1"/>
    </xf>
    <xf numFmtId="2" fontId="7" fillId="26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8" borderId="76" xfId="0" applyFont="1" applyFill="1" applyBorder="1" applyAlignment="1" applyProtection="1">
      <alignment horizontal="center" vertical="center" wrapText="1"/>
      <protection hidden="1"/>
    </xf>
    <xf numFmtId="2" fontId="7" fillId="26" borderId="52" xfId="0" applyNumberFormat="1" applyFont="1" applyFill="1" applyBorder="1" applyAlignment="1" applyProtection="1">
      <alignment horizontal="center" vertical="center" wrapText="1"/>
      <protection hidden="1"/>
    </xf>
    <xf numFmtId="175" fontId="40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6" xfId="0" applyFont="1" applyFill="1" applyBorder="1" applyAlignment="1" applyProtection="1">
      <alignment horizontal="center" vertical="center" wrapText="1"/>
      <protection hidden="1"/>
    </xf>
    <xf numFmtId="168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9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3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7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9" xfId="0" applyNumberFormat="1" applyFont="1" applyFill="1" applyBorder="1" applyAlignment="1" applyProtection="1">
      <alignment horizontal="center" vertical="center"/>
      <protection locked="0" hidden="1"/>
    </xf>
    <xf numFmtId="1" fontId="3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4" borderId="1" xfId="6" applyBorder="1" applyAlignment="1" applyProtection="1">
      <alignment horizontal="center" vertical="center" wrapText="1"/>
      <protection locked="0"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1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1" borderId="7" xfId="0" applyFont="1" applyFill="1" applyBorder="1" applyAlignment="1" applyProtection="1">
      <alignment horizontal="center" vertical="center" wrapText="1"/>
      <protection hidden="1"/>
    </xf>
    <xf numFmtId="0" fontId="7" fillId="21" borderId="22" xfId="0" applyFont="1" applyFill="1" applyBorder="1" applyAlignment="1" applyProtection="1">
      <alignment horizontal="center" vertical="center" wrapText="1"/>
      <protection hidden="1"/>
    </xf>
    <xf numFmtId="0" fontId="7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8" xfId="0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11" fontId="2" fillId="2" borderId="0" xfId="1" applyNumberFormat="1" applyFont="1" applyFill="1" applyBorder="1" applyAlignment="1" applyProtection="1">
      <alignment horizontal="center" vertical="center"/>
      <protection hidden="1"/>
    </xf>
    <xf numFmtId="1" fontId="21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7" xfId="0" applyFont="1" applyFill="1" applyBorder="1" applyAlignment="1" applyProtection="1">
      <alignment horizontal="center" vertical="center"/>
      <protection hidden="1"/>
    </xf>
    <xf numFmtId="2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0" fontId="1" fillId="2" borderId="77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2" fontId="2" fillId="12" borderId="9" xfId="0" applyNumberFormat="1" applyFont="1" applyFill="1" applyBorder="1" applyAlignment="1" applyProtection="1">
      <alignment horizontal="center" vertical="center"/>
      <protection hidden="1"/>
    </xf>
    <xf numFmtId="2" fontId="2" fillId="5" borderId="36" xfId="0" applyNumberFormat="1" applyFont="1" applyFill="1" applyBorder="1" applyAlignment="1" applyProtection="1">
      <alignment horizontal="center" vertical="center"/>
      <protection hidden="1"/>
    </xf>
    <xf numFmtId="2" fontId="21" fillId="15" borderId="58" xfId="0" applyNumberFormat="1" applyFont="1" applyFill="1" applyBorder="1" applyAlignment="1" applyProtection="1">
      <alignment vertical="center" wrapText="1"/>
      <protection hidden="1"/>
    </xf>
    <xf numFmtId="2" fontId="21" fillId="15" borderId="59" xfId="0" applyNumberFormat="1" applyFont="1" applyFill="1" applyBorder="1" applyAlignment="1" applyProtection="1">
      <alignment vertical="center" wrapText="1"/>
      <protection hidden="1"/>
    </xf>
    <xf numFmtId="1" fontId="21" fillId="15" borderId="57" xfId="0" applyNumberFormat="1" applyFont="1" applyFill="1" applyBorder="1" applyAlignment="1" applyProtection="1">
      <alignment vertical="center" wrapText="1"/>
      <protection hidden="1"/>
    </xf>
    <xf numFmtId="1" fontId="21" fillId="15" borderId="63" xfId="0" applyNumberFormat="1" applyFont="1" applyFill="1" applyBorder="1" applyAlignment="1" applyProtection="1">
      <alignment vertical="center" wrapText="1"/>
      <protection hidden="1"/>
    </xf>
    <xf numFmtId="0" fontId="1" fillId="5" borderId="45" xfId="0" applyFont="1" applyFill="1" applyBorder="1" applyAlignment="1" applyProtection="1">
      <alignment horizontal="center" vertical="center"/>
      <protection hidden="1"/>
    </xf>
    <xf numFmtId="0" fontId="2" fillId="12" borderId="39" xfId="0" applyFont="1" applyFill="1" applyBorder="1" applyAlignment="1" applyProtection="1">
      <alignment horizontal="center" vertical="center"/>
      <protection hidden="1"/>
    </xf>
    <xf numFmtId="0" fontId="1" fillId="2" borderId="78" xfId="0" applyFont="1" applyFill="1" applyBorder="1" applyAlignment="1" applyProtection="1">
      <alignment horizontal="right"/>
      <protection hidden="1"/>
    </xf>
    <xf numFmtId="0" fontId="2" fillId="2" borderId="79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2" fontId="2" fillId="12" borderId="46" xfId="0" applyNumberFormat="1" applyFont="1" applyFill="1" applyBorder="1" applyAlignment="1" applyProtection="1">
      <alignment horizontal="center" vertical="center"/>
      <protection hidden="1"/>
    </xf>
    <xf numFmtId="2" fontId="2" fillId="5" borderId="3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right"/>
      <protection hidden="1"/>
    </xf>
    <xf numFmtId="0" fontId="56" fillId="4" borderId="32" xfId="0" applyFont="1" applyFill="1" applyBorder="1" applyAlignment="1" applyProtection="1">
      <alignment horizontal="center" vertical="center" wrapText="1"/>
      <protection hidden="1"/>
    </xf>
    <xf numFmtId="2" fontId="2" fillId="12" borderId="55" xfId="0" applyNumberFormat="1" applyFont="1" applyFill="1" applyBorder="1" applyAlignment="1" applyProtection="1">
      <alignment horizontal="center" vertical="center"/>
      <protection hidden="1"/>
    </xf>
    <xf numFmtId="2" fontId="2" fillId="13" borderId="38" xfId="0" applyNumberFormat="1" applyFont="1" applyFill="1" applyBorder="1" applyAlignment="1" applyProtection="1">
      <alignment horizontal="center" vertical="center"/>
      <protection hidden="1"/>
    </xf>
    <xf numFmtId="0" fontId="4" fillId="4" borderId="34" xfId="0" applyFont="1" applyFill="1" applyBorder="1" applyAlignment="1" applyProtection="1">
      <alignment vertical="top" wrapText="1"/>
      <protection hidden="1"/>
    </xf>
    <xf numFmtId="165" fontId="2" fillId="12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protection hidden="1"/>
    </xf>
    <xf numFmtId="0" fontId="4" fillId="4" borderId="45" xfId="0" applyFont="1" applyFill="1" applyBorder="1" applyAlignment="1" applyProtection="1">
      <alignment vertical="center" wrapText="1"/>
      <protection hidden="1"/>
    </xf>
    <xf numFmtId="2" fontId="2" fillId="13" borderId="39" xfId="0" applyNumberFormat="1" applyFont="1" applyFill="1" applyBorder="1" applyAlignment="1" applyProtection="1">
      <alignment horizontal="center" vertical="center"/>
      <protection hidden="1"/>
    </xf>
    <xf numFmtId="167" fontId="2" fillId="2" borderId="0" xfId="1" applyNumberFormat="1" applyFont="1" applyFill="1" applyBorder="1" applyProtection="1">
      <protection hidden="1"/>
    </xf>
    <xf numFmtId="9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32" xfId="1" applyFont="1" applyFill="1" applyBorder="1" applyAlignment="1" applyProtection="1">
      <alignment horizontal="center" vertical="center"/>
      <protection hidden="1"/>
    </xf>
    <xf numFmtId="0" fontId="2" fillId="5" borderId="18" xfId="1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66" fontId="2" fillId="2" borderId="5" xfId="0" applyNumberFormat="1" applyFont="1" applyFill="1" applyBorder="1" applyProtection="1"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 wrapText="1"/>
      <protection hidden="1"/>
    </xf>
    <xf numFmtId="0" fontId="1" fillId="5" borderId="45" xfId="0" applyFont="1" applyFill="1" applyBorder="1" applyAlignment="1" applyProtection="1">
      <alignment horizontal="center" vertical="center" wrapText="1"/>
      <protection hidden="1"/>
    </xf>
    <xf numFmtId="0" fontId="1" fillId="5" borderId="70" xfId="0" applyFont="1" applyFill="1" applyBorder="1" applyAlignment="1" applyProtection="1">
      <alignment horizontal="center" vertical="center" wrapText="1"/>
      <protection hidden="1"/>
    </xf>
    <xf numFmtId="166" fontId="2" fillId="1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1" fillId="5" borderId="71" xfId="0" applyFont="1" applyFill="1" applyBorder="1" applyAlignment="1" applyProtection="1">
      <alignment horizontal="center" vertical="center"/>
      <protection hidden="1"/>
    </xf>
    <xf numFmtId="2" fontId="2" fillId="13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51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164" fontId="2" fillId="7" borderId="24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51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164" fontId="2" fillId="2" borderId="0" xfId="0" applyNumberFormat="1" applyFont="1" applyFill="1" applyBorder="1" applyAlignment="1" applyProtection="1">
      <alignment vertical="center" wrapText="1"/>
      <protection hidden="1"/>
    </xf>
    <xf numFmtId="169" fontId="1" fillId="2" borderId="51" xfId="0" applyNumberFormat="1" applyFont="1" applyFill="1" applyBorder="1" applyAlignment="1" applyProtection="1">
      <alignment vertical="center"/>
      <protection hidden="1"/>
    </xf>
    <xf numFmtId="169" fontId="2" fillId="2" borderId="5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1" fontId="2" fillId="2" borderId="0" xfId="0" applyNumberFormat="1" applyFont="1" applyFill="1" applyBorder="1" applyAlignment="1" applyProtection="1">
      <alignment vertical="center" wrapText="1"/>
      <protection hidden="1"/>
    </xf>
    <xf numFmtId="0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vertical="center" wrapText="1"/>
      <protection hidden="1"/>
    </xf>
    <xf numFmtId="0" fontId="2" fillId="5" borderId="66" xfId="0" applyFont="1" applyFill="1" applyBorder="1" applyAlignment="1" applyProtection="1">
      <alignment vertical="center" wrapText="1"/>
      <protection hidden="1"/>
    </xf>
    <xf numFmtId="164" fontId="2" fillId="7" borderId="48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0" xfId="0" applyNumberFormat="1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 wrapText="1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166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1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vertical="center" wrapText="1"/>
      <protection hidden="1"/>
    </xf>
    <xf numFmtId="0" fontId="2" fillId="2" borderId="43" xfId="0" applyFont="1" applyFill="1" applyBorder="1" applyAlignment="1" applyProtection="1">
      <alignment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67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2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vertical="top" wrapText="1"/>
      <protection hidden="1"/>
    </xf>
    <xf numFmtId="0" fontId="1" fillId="2" borderId="1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4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71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164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vertical="top" wrapText="1"/>
      <protection hidden="1"/>
    </xf>
    <xf numFmtId="0" fontId="2" fillId="5" borderId="46" xfId="0" applyFont="1" applyFill="1" applyBorder="1" applyAlignment="1" applyProtection="1">
      <alignment horizontal="center" vertical="center" wrapText="1"/>
      <protection hidden="1"/>
    </xf>
    <xf numFmtId="14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69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9" xfId="0" applyFont="1" applyFill="1" applyBorder="1" applyAlignment="1" applyProtection="1">
      <alignment horizontal="center" vertical="center" wrapText="1"/>
      <protection hidden="1"/>
    </xf>
    <xf numFmtId="166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vertical="center" wrapText="1"/>
      <protection hidden="1"/>
    </xf>
    <xf numFmtId="0" fontId="2" fillId="5" borderId="54" xfId="0" applyFont="1" applyFill="1" applyBorder="1" applyAlignment="1" applyProtection="1">
      <alignment horizontal="center" vertical="center" wrapText="1"/>
      <protection hidden="1"/>
    </xf>
    <xf numFmtId="14" fontId="2" fillId="5" borderId="18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2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4" fontId="2" fillId="5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2" fontId="2" fillId="2" borderId="45" xfId="0" applyNumberFormat="1" applyFont="1" applyFill="1" applyBorder="1" applyAlignment="1" applyProtection="1">
      <alignment horizontal="center" vertical="center"/>
      <protection hidden="1"/>
    </xf>
    <xf numFmtId="2" fontId="2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165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11" borderId="14" xfId="0" applyFont="1" applyFill="1" applyBorder="1" applyAlignment="1" applyProtection="1">
      <alignment horizontal="center" vertical="center"/>
      <protection locked="0" hidden="1"/>
    </xf>
    <xf numFmtId="0" fontId="2" fillId="11" borderId="59" xfId="0" applyFont="1" applyFill="1" applyBorder="1" applyAlignment="1" applyProtection="1">
      <alignment horizontal="center" vertical="center"/>
      <protection locked="0" hidden="1"/>
    </xf>
    <xf numFmtId="0" fontId="2" fillId="11" borderId="9" xfId="1" applyFont="1" applyFill="1" applyBorder="1" applyAlignment="1" applyProtection="1">
      <alignment horizontal="center" vertical="center"/>
      <protection locked="0" hidden="1"/>
    </xf>
    <xf numFmtId="0" fontId="2" fillId="11" borderId="46" xfId="1" applyFont="1" applyFill="1" applyBorder="1" applyAlignment="1" applyProtection="1">
      <alignment horizontal="center" vertical="center"/>
      <protection locked="0" hidden="1"/>
    </xf>
    <xf numFmtId="2" fontId="9" fillId="24" borderId="1" xfId="6" applyNumberFormat="1" applyBorder="1" applyAlignment="1" applyProtection="1">
      <alignment horizontal="center" vertical="center"/>
      <protection locked="0" hidden="1"/>
    </xf>
    <xf numFmtId="2" fontId="17" fillId="16" borderId="1" xfId="1" applyNumberFormat="1" applyFont="1" applyFill="1" applyBorder="1" applyAlignment="1" applyProtection="1">
      <alignment horizontal="center" vertical="center" wrapText="1"/>
      <protection hidden="1"/>
    </xf>
    <xf numFmtId="0" fontId="60" fillId="25" borderId="1" xfId="0" applyFont="1" applyFill="1" applyBorder="1" applyAlignment="1" applyProtection="1">
      <alignment horizontal="center" vertical="center"/>
      <protection hidden="1"/>
    </xf>
    <xf numFmtId="0" fontId="9" fillId="24" borderId="72" xfId="6" applyBorder="1" applyAlignment="1" applyProtection="1">
      <alignment horizontal="center" vertical="center" wrapText="1"/>
      <protection locked="0" hidden="1"/>
    </xf>
    <xf numFmtId="2" fontId="17" fillId="21" borderId="20" xfId="1" applyNumberFormat="1" applyFont="1" applyFill="1" applyBorder="1" applyAlignment="1" applyProtection="1">
      <alignment horizontal="center" vertical="center" wrapText="1"/>
      <protection hidden="1"/>
    </xf>
    <xf numFmtId="0" fontId="48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41" xfId="0" applyFont="1" applyFill="1" applyBorder="1" applyAlignment="1" applyProtection="1">
      <alignment horizontal="center" vertical="center" wrapText="1"/>
      <protection hidden="1"/>
    </xf>
    <xf numFmtId="0" fontId="2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0" fontId="48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2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2" fontId="17" fillId="21" borderId="19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2" xfId="1" applyNumberFormat="1" applyFont="1" applyFill="1" applyBorder="1" applyAlignment="1" applyProtection="1">
      <alignment horizontal="center" vertical="center" wrapText="1"/>
      <protection hidden="1"/>
    </xf>
    <xf numFmtId="166" fontId="2" fillId="7" borderId="46" xfId="0" applyNumberFormat="1" applyFont="1" applyFill="1" applyBorder="1" applyAlignment="1" applyProtection="1">
      <alignment horizontal="center" vertical="center"/>
      <protection hidden="1"/>
    </xf>
    <xf numFmtId="166" fontId="2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8" xfId="1" applyFont="1" applyFill="1" applyBorder="1" applyAlignment="1" applyProtection="1">
      <alignment horizontal="center" wrapText="1"/>
      <protection hidden="1"/>
    </xf>
    <xf numFmtId="166" fontId="2" fillId="12" borderId="11" xfId="0" applyNumberFormat="1" applyFont="1" applyFill="1" applyBorder="1" applyAlignment="1" applyProtection="1">
      <alignment horizontal="center" vertical="center"/>
      <protection hidden="1"/>
    </xf>
    <xf numFmtId="166" fontId="2" fillId="12" borderId="57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Protection="1"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0" fontId="19" fillId="0" borderId="42" xfId="0" applyNumberFormat="1" applyFont="1" applyBorder="1" applyAlignment="1" applyProtection="1">
      <alignment horizontal="center" vertical="center"/>
      <protection hidden="1"/>
    </xf>
    <xf numFmtId="0" fontId="19" fillId="0" borderId="43" xfId="0" applyFont="1" applyBorder="1" applyProtection="1">
      <protection hidden="1"/>
    </xf>
    <xf numFmtId="167" fontId="1" fillId="7" borderId="71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76" xfId="0" applyNumberFormat="1" applyFont="1" applyFill="1" applyBorder="1" applyAlignment="1" applyProtection="1">
      <alignment horizontal="center" vertical="center" wrapText="1"/>
      <protection hidden="1"/>
    </xf>
    <xf numFmtId="167" fontId="1" fillId="7" borderId="68" xfId="0" applyNumberFormat="1" applyFont="1" applyFill="1" applyBorder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vertical="center" wrapText="1"/>
      <protection hidden="1"/>
    </xf>
    <xf numFmtId="165" fontId="21" fillId="0" borderId="0" xfId="0" applyNumberFormat="1" applyFont="1" applyAlignment="1" applyProtection="1">
      <alignment horizontal="center" vertical="center" wrapText="1"/>
      <protection hidden="1"/>
    </xf>
    <xf numFmtId="166" fontId="21" fillId="0" borderId="0" xfId="0" applyNumberFormat="1" applyFont="1" applyAlignment="1" applyProtection="1">
      <alignment horizontal="center" vertical="center" wrapText="1"/>
      <protection hidden="1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Protection="1">
      <protection hidden="1"/>
    </xf>
    <xf numFmtId="0" fontId="64" fillId="0" borderId="6" xfId="0" applyFont="1" applyBorder="1" applyProtection="1">
      <protection hidden="1"/>
    </xf>
    <xf numFmtId="0" fontId="64" fillId="0" borderId="8" xfId="0" applyFont="1" applyBorder="1" applyProtection="1">
      <protection hidden="1"/>
    </xf>
    <xf numFmtId="0" fontId="64" fillId="0" borderId="0" xfId="0" applyFont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170" fontId="15" fillId="0" borderId="0" xfId="0" applyNumberFormat="1" applyFont="1" applyBorder="1" applyAlignment="1" applyProtection="1">
      <alignment vertical="center"/>
      <protection hidden="1"/>
    </xf>
    <xf numFmtId="170" fontId="64" fillId="0" borderId="0" xfId="0" applyNumberFormat="1" applyFont="1" applyProtection="1"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protection hidden="1"/>
    </xf>
    <xf numFmtId="0" fontId="61" fillId="0" borderId="0" xfId="0" applyFont="1" applyProtection="1">
      <protection hidden="1"/>
    </xf>
    <xf numFmtId="0" fontId="40" fillId="2" borderId="41" xfId="0" applyFont="1" applyFill="1" applyBorder="1" applyAlignment="1" applyProtection="1">
      <alignment horizontal="center"/>
      <protection hidden="1"/>
    </xf>
    <xf numFmtId="0" fontId="40" fillId="2" borderId="42" xfId="0" applyFont="1" applyFill="1" applyBorder="1" applyAlignment="1" applyProtection="1">
      <alignment horizontal="center"/>
      <protection hidden="1"/>
    </xf>
    <xf numFmtId="0" fontId="40" fillId="2" borderId="4" xfId="0" applyFont="1" applyFill="1" applyBorder="1" applyProtection="1">
      <protection hidden="1"/>
    </xf>
    <xf numFmtId="0" fontId="40" fillId="18" borderId="1" xfId="0" applyFont="1" applyFill="1" applyBorder="1" applyAlignment="1" applyProtection="1">
      <alignment horizontal="center" vertical="center"/>
      <protection hidden="1"/>
    </xf>
    <xf numFmtId="0" fontId="40" fillId="0" borderId="0" xfId="0" applyFont="1" applyBorder="1" applyProtection="1">
      <protection hidden="1"/>
    </xf>
    <xf numFmtId="0" fontId="64" fillId="0" borderId="0" xfId="0" applyFont="1" applyFill="1" applyBorder="1" applyProtection="1">
      <protection hidden="1"/>
    </xf>
    <xf numFmtId="0" fontId="64" fillId="0" borderId="0" xfId="0" applyFont="1" applyFill="1" applyProtection="1">
      <protection hidden="1"/>
    </xf>
    <xf numFmtId="0" fontId="40" fillId="2" borderId="34" xfId="0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/>
      <protection hidden="1"/>
    </xf>
    <xf numFmtId="170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center" vertical="center" wrapText="1"/>
      <protection hidden="1"/>
    </xf>
    <xf numFmtId="0" fontId="40" fillId="2" borderId="36" xfId="0" applyFont="1" applyFill="1" applyBorder="1" applyAlignment="1" applyProtection="1">
      <alignment horizontal="center" vertical="center"/>
      <protection hidden="1"/>
    </xf>
    <xf numFmtId="0" fontId="40" fillId="0" borderId="41" xfId="0" applyFont="1" applyFill="1" applyBorder="1" applyAlignment="1" applyProtection="1">
      <alignment horizontal="center" vertical="center"/>
      <protection hidden="1"/>
    </xf>
    <xf numFmtId="0" fontId="40" fillId="2" borderId="45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/>
      <protection hidden="1"/>
    </xf>
    <xf numFmtId="170" fontId="40" fillId="2" borderId="46" xfId="0" applyNumberFormat="1" applyFont="1" applyFill="1" applyBorder="1" applyAlignment="1" applyProtection="1">
      <alignment horizontal="center"/>
      <protection hidden="1"/>
    </xf>
    <xf numFmtId="0" fontId="40" fillId="2" borderId="39" xfId="0" applyFont="1" applyFill="1" applyBorder="1" applyAlignment="1" applyProtection="1">
      <alignment horizont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2" fontId="40" fillId="0" borderId="9" xfId="0" applyNumberFormat="1" applyFont="1" applyFill="1" applyBorder="1" applyAlignment="1" applyProtection="1">
      <alignment vertical="center"/>
      <protection hidden="1"/>
    </xf>
    <xf numFmtId="0" fontId="40" fillId="0" borderId="9" xfId="0" applyFont="1" applyFill="1" applyBorder="1" applyAlignment="1" applyProtection="1">
      <alignment vertical="center"/>
      <protection hidden="1"/>
    </xf>
    <xf numFmtId="0" fontId="40" fillId="0" borderId="11" xfId="0" applyFont="1" applyFill="1" applyBorder="1" applyAlignment="1" applyProtection="1">
      <alignment vertical="center"/>
      <protection hidden="1"/>
    </xf>
    <xf numFmtId="0" fontId="40" fillId="0" borderId="23" xfId="0" applyFont="1" applyFill="1" applyBorder="1" applyAlignment="1" applyProtection="1">
      <alignment vertical="center"/>
      <protection hidden="1"/>
    </xf>
    <xf numFmtId="0" fontId="40" fillId="0" borderId="35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170" fontId="40" fillId="0" borderId="0" xfId="0" applyNumberFormat="1" applyFont="1" applyFill="1" applyBorder="1" applyAlignment="1" applyProtection="1">
      <alignment horizontal="center"/>
      <protection hidden="1"/>
    </xf>
    <xf numFmtId="0" fontId="40" fillId="0" borderId="36" xfId="0" applyFont="1" applyFill="1" applyBorder="1" applyAlignment="1" applyProtection="1">
      <alignment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2" fontId="40" fillId="0" borderId="46" xfId="0" applyNumberFormat="1" applyFont="1" applyFill="1" applyBorder="1" applyAlignment="1" applyProtection="1">
      <alignment vertical="center"/>
      <protection hidden="1"/>
    </xf>
    <xf numFmtId="0" fontId="40" fillId="0" borderId="46" xfId="0" applyFont="1" applyFill="1" applyBorder="1" applyAlignment="1" applyProtection="1">
      <alignment vertical="center"/>
      <protection hidden="1"/>
    </xf>
    <xf numFmtId="0" fontId="40" fillId="2" borderId="42" xfId="0" applyFont="1" applyFill="1" applyBorder="1" applyAlignment="1" applyProtection="1">
      <alignment horizontal="center" vertical="center" wrapText="1"/>
      <protection hidden="1"/>
    </xf>
    <xf numFmtId="1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3" xfId="0" applyFont="1" applyFill="1" applyBorder="1" applyAlignment="1" applyProtection="1">
      <alignment horizontal="center" vertical="center" wrapText="1"/>
      <protection hidden="1"/>
    </xf>
    <xf numFmtId="14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Border="1" applyAlignment="1" applyProtection="1">
      <alignment horizontal="center"/>
      <protection hidden="1"/>
    </xf>
    <xf numFmtId="0" fontId="40" fillId="0" borderId="42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/>
      <protection hidden="1"/>
    </xf>
    <xf numFmtId="167" fontId="64" fillId="2" borderId="41" xfId="0" applyNumberFormat="1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Protection="1">
      <protection hidden="1"/>
    </xf>
    <xf numFmtId="0" fontId="40" fillId="0" borderId="9" xfId="0" applyFont="1" applyFill="1" applyBorder="1" applyProtection="1">
      <protection hidden="1"/>
    </xf>
    <xf numFmtId="0" fontId="40" fillId="0" borderId="36" xfId="0" applyFont="1" applyFill="1" applyBorder="1" applyProtection="1">
      <protection hidden="1"/>
    </xf>
    <xf numFmtId="0" fontId="64" fillId="2" borderId="34" xfId="0" applyFont="1" applyFill="1" applyBorder="1" applyAlignment="1" applyProtection="1">
      <alignment horizontal="center" vertical="center"/>
      <protection hidden="1"/>
    </xf>
    <xf numFmtId="0" fontId="64" fillId="2" borderId="36" xfId="0" applyFont="1" applyFill="1" applyBorder="1" applyAlignment="1" applyProtection="1">
      <alignment horizontal="center" vertical="center"/>
      <protection hidden="1"/>
    </xf>
    <xf numFmtId="0" fontId="64" fillId="2" borderId="45" xfId="0" applyFont="1" applyFill="1" applyBorder="1" applyAlignment="1" applyProtection="1">
      <alignment horizontal="center" vertical="center"/>
      <protection hidden="1"/>
    </xf>
    <xf numFmtId="0" fontId="64" fillId="2" borderId="39" xfId="0" applyFont="1" applyFill="1" applyBorder="1" applyAlignment="1" applyProtection="1">
      <alignment horizontal="center" vertical="center"/>
      <protection hidden="1"/>
    </xf>
    <xf numFmtId="0" fontId="64" fillId="0" borderId="2" xfId="0" applyFont="1" applyBorder="1" applyProtection="1">
      <protection hidden="1"/>
    </xf>
    <xf numFmtId="0" fontId="64" fillId="0" borderId="3" xfId="0" applyFont="1" applyBorder="1" applyProtection="1">
      <protection hidden="1"/>
    </xf>
    <xf numFmtId="0" fontId="64" fillId="0" borderId="3" xfId="0" applyFont="1" applyFill="1" applyBorder="1" applyAlignment="1" applyProtection="1">
      <alignment horizontal="center" vertical="center"/>
      <protection hidden="1"/>
    </xf>
    <xf numFmtId="2" fontId="64" fillId="0" borderId="3" xfId="0" applyNumberFormat="1" applyFont="1" applyFill="1" applyBorder="1" applyAlignment="1" applyProtection="1">
      <alignment horizontal="left" vertical="center"/>
      <protection hidden="1"/>
    </xf>
    <xf numFmtId="0" fontId="64" fillId="0" borderId="3" xfId="0" applyFont="1" applyFill="1" applyBorder="1" applyProtection="1">
      <protection hidden="1"/>
    </xf>
    <xf numFmtId="170" fontId="64" fillId="0" borderId="3" xfId="0" applyNumberFormat="1" applyFont="1" applyFill="1" applyBorder="1" applyProtection="1">
      <protection hidden="1"/>
    </xf>
    <xf numFmtId="0" fontId="64" fillId="0" borderId="4" xfId="0" applyFont="1" applyFill="1" applyBorder="1" applyProtection="1">
      <protection hidden="1"/>
    </xf>
    <xf numFmtId="0" fontId="19" fillId="2" borderId="73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Protection="1">
      <protection hidden="1"/>
    </xf>
    <xf numFmtId="0" fontId="64" fillId="0" borderId="51" xfId="0" applyFont="1" applyBorder="1" applyProtection="1">
      <protection hidden="1"/>
    </xf>
    <xf numFmtId="0" fontId="40" fillId="0" borderId="47" xfId="0" applyFont="1" applyFill="1" applyBorder="1" applyAlignment="1" applyProtection="1">
      <alignment horizontal="center" vertical="center"/>
      <protection hidden="1"/>
    </xf>
    <xf numFmtId="0" fontId="40" fillId="0" borderId="55" xfId="0" applyFont="1" applyFill="1" applyBorder="1" applyAlignment="1" applyProtection="1">
      <alignment horizontal="center" vertical="center"/>
      <protection hidden="1"/>
    </xf>
    <xf numFmtId="0" fontId="40" fillId="2" borderId="41" xfId="0" applyFont="1" applyFill="1" applyBorder="1" applyAlignment="1" applyProtection="1">
      <alignment horizontal="center" vertical="center"/>
      <protection hidden="1"/>
    </xf>
    <xf numFmtId="0" fontId="40" fillId="2" borderId="42" xfId="0" applyFont="1" applyFill="1" applyBorder="1" applyAlignment="1" applyProtection="1">
      <protection hidden="1"/>
    </xf>
    <xf numFmtId="0" fontId="40" fillId="2" borderId="43" xfId="0" applyFont="1" applyFill="1" applyBorder="1" applyAlignment="1" applyProtection="1">
      <alignment vertical="center"/>
      <protection hidden="1"/>
    </xf>
    <xf numFmtId="170" fontId="64" fillId="0" borderId="0" xfId="0" applyNumberFormat="1" applyFont="1" applyBorder="1" applyProtection="1">
      <protection hidden="1"/>
    </xf>
    <xf numFmtId="167" fontId="40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 wrapText="1"/>
      <protection hidden="1"/>
    </xf>
    <xf numFmtId="0" fontId="19" fillId="18" borderId="22" xfId="0" applyFont="1" applyFill="1" applyBorder="1" applyAlignment="1" applyProtection="1">
      <alignment horizontal="center" vertical="center" wrapText="1"/>
      <protection hidden="1"/>
    </xf>
    <xf numFmtId="170" fontId="19" fillId="18" borderId="22" xfId="0" applyNumberFormat="1" applyFont="1" applyFill="1" applyBorder="1" applyAlignment="1" applyProtection="1">
      <alignment horizontal="center" vertical="center" wrapText="1"/>
      <protection hidden="1"/>
    </xf>
    <xf numFmtId="0" fontId="19" fillId="18" borderId="20" xfId="0" applyFont="1" applyFill="1" applyBorder="1" applyAlignment="1" applyProtection="1">
      <alignment horizontal="center" vertical="center" wrapText="1"/>
      <protection hidden="1"/>
    </xf>
    <xf numFmtId="0" fontId="40" fillId="2" borderId="45" xfId="0" applyFont="1" applyFill="1" applyBorder="1" applyAlignment="1" applyProtection="1">
      <alignment horizontal="center" vertical="center"/>
      <protection hidden="1"/>
    </xf>
    <xf numFmtId="2" fontId="40" fillId="2" borderId="46" xfId="0" applyNumberFormat="1" applyFont="1" applyFill="1" applyBorder="1" applyAlignment="1" applyProtection="1">
      <alignment vertical="center"/>
      <protection hidden="1"/>
    </xf>
    <xf numFmtId="0" fontId="40" fillId="2" borderId="46" xfId="0" applyFont="1" applyFill="1" applyBorder="1" applyAlignment="1" applyProtection="1">
      <alignment vertical="center"/>
      <protection hidden="1"/>
    </xf>
    <xf numFmtId="0" fontId="40" fillId="2" borderId="39" xfId="0" applyFont="1" applyFill="1" applyBorder="1" applyAlignment="1" applyProtection="1">
      <alignment vertical="center"/>
      <protection hidden="1"/>
    </xf>
    <xf numFmtId="0" fontId="40" fillId="0" borderId="31" xfId="0" applyFont="1" applyBorder="1" applyProtection="1">
      <protection hidden="1"/>
    </xf>
    <xf numFmtId="0" fontId="40" fillId="0" borderId="30" xfId="0" applyFont="1" applyBorder="1" applyProtection="1">
      <protection hidden="1"/>
    </xf>
    <xf numFmtId="0" fontId="40" fillId="0" borderId="3" xfId="0" applyFont="1" applyBorder="1" applyProtection="1">
      <protection hidden="1"/>
    </xf>
    <xf numFmtId="170" fontId="40" fillId="0" borderId="3" xfId="0" applyNumberFormat="1" applyFont="1" applyBorder="1" applyProtection="1">
      <protection hidden="1"/>
    </xf>
    <xf numFmtId="0" fontId="40" fillId="0" borderId="4" xfId="0" applyFont="1" applyBorder="1" applyProtection="1">
      <protection hidden="1"/>
    </xf>
    <xf numFmtId="0" fontId="64" fillId="0" borderId="51" xfId="0" applyFont="1" applyFill="1" applyBorder="1" applyProtection="1">
      <protection hidden="1"/>
    </xf>
    <xf numFmtId="0" fontId="40" fillId="0" borderId="69" xfId="0" applyFont="1" applyFill="1" applyBorder="1" applyAlignment="1" applyProtection="1">
      <alignment horizontal="center" vertical="center" wrapText="1"/>
      <protection hidden="1"/>
    </xf>
    <xf numFmtId="0" fontId="40" fillId="0" borderId="75" xfId="0" applyFont="1" applyFill="1" applyBorder="1" applyAlignment="1" applyProtection="1">
      <alignment horizontal="center" vertical="center" wrapText="1"/>
      <protection hidden="1"/>
    </xf>
    <xf numFmtId="0" fontId="19" fillId="0" borderId="41" xfId="0" applyFont="1" applyFill="1" applyBorder="1" applyAlignment="1" applyProtection="1">
      <alignment horizontal="center" vertical="center" wrapText="1"/>
      <protection hidden="1"/>
    </xf>
    <xf numFmtId="2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2" xfId="0" applyFont="1" applyFill="1" applyBorder="1" applyAlignment="1" applyProtection="1">
      <alignment horizontal="center" vertical="center"/>
      <protection hidden="1"/>
    </xf>
    <xf numFmtId="170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40" fillId="0" borderId="46" xfId="0" applyFont="1" applyFill="1" applyBorder="1" applyAlignment="1" applyProtection="1">
      <alignment horizontal="center" vertical="center" wrapText="1"/>
      <protection hidden="1"/>
    </xf>
    <xf numFmtId="14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70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9" xfId="0" applyFont="1" applyFill="1" applyBorder="1" applyAlignment="1" applyProtection="1">
      <alignment vertical="center" wrapText="1"/>
      <protection hidden="1"/>
    </xf>
    <xf numFmtId="0" fontId="40" fillId="0" borderId="36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Protection="1">
      <protection hidden="1"/>
    </xf>
    <xf numFmtId="170" fontId="40" fillId="0" borderId="0" xfId="0" applyNumberFormat="1" applyFont="1" applyFill="1" applyBorder="1" applyProtection="1">
      <protection hidden="1"/>
    </xf>
    <xf numFmtId="0" fontId="40" fillId="0" borderId="73" xfId="0" applyFont="1" applyBorder="1" applyAlignment="1" applyProtection="1">
      <alignment horizontal="center" vertical="center"/>
      <protection hidden="1"/>
    </xf>
    <xf numFmtId="0" fontId="19" fillId="5" borderId="47" xfId="0" applyFont="1" applyFill="1" applyBorder="1" applyAlignment="1" applyProtection="1">
      <alignment horizontal="center" vertical="center" wrapText="1"/>
      <protection hidden="1"/>
    </xf>
    <xf numFmtId="0" fontId="19" fillId="5" borderId="55" xfId="0" applyFont="1" applyFill="1" applyBorder="1" applyAlignment="1" applyProtection="1">
      <alignment horizontal="center" vertical="center" wrapText="1"/>
      <protection hidden="1"/>
    </xf>
    <xf numFmtId="170" fontId="19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8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40" fillId="0" borderId="17" xfId="0" applyFont="1" applyFill="1" applyBorder="1" applyProtection="1">
      <protection hidden="1"/>
    </xf>
    <xf numFmtId="0" fontId="64" fillId="0" borderId="33" xfId="0" applyFont="1" applyBorder="1" applyProtection="1"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170" fontId="40" fillId="0" borderId="61" xfId="0" applyNumberFormat="1" applyFont="1" applyBorder="1" applyProtection="1">
      <protection hidden="1"/>
    </xf>
    <xf numFmtId="0" fontId="40" fillId="0" borderId="56" xfId="0" applyFont="1" applyBorder="1" applyProtection="1"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40" fillId="0" borderId="9" xfId="0" applyFont="1" applyFill="1" applyBorder="1" applyAlignment="1" applyProtection="1">
      <alignment horizontal="center" vertical="center" wrapText="1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4" fontId="40" fillId="0" borderId="36" xfId="0" applyNumberFormat="1" applyFont="1" applyBorder="1" applyAlignment="1" applyProtection="1">
      <alignment horizontal="center" vertical="center"/>
      <protection hidden="1"/>
    </xf>
    <xf numFmtId="0" fontId="40" fillId="0" borderId="46" xfId="0" applyFont="1" applyBorder="1" applyAlignment="1" applyProtection="1">
      <alignment horizontal="center" vertical="center"/>
      <protection hidden="1"/>
    </xf>
    <xf numFmtId="0" fontId="40" fillId="0" borderId="39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40" fillId="0" borderId="27" xfId="0" applyFont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4" fontId="40" fillId="0" borderId="62" xfId="0" applyNumberFormat="1" applyFont="1" applyBorder="1" applyAlignment="1" applyProtection="1">
      <alignment horizontal="center" vertical="center"/>
      <protection hidden="1"/>
    </xf>
    <xf numFmtId="0" fontId="64" fillId="0" borderId="3" xfId="0" applyFont="1" applyBorder="1" applyAlignment="1" applyProtection="1">
      <alignment vertical="center" textRotation="90" wrapText="1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Protection="1"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170" fontId="19" fillId="5" borderId="80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47" xfId="0" applyFont="1" applyBorder="1" applyProtection="1"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21" xfId="0" applyFont="1" applyBorder="1" applyProtection="1">
      <protection hidden="1"/>
    </xf>
    <xf numFmtId="0" fontId="40" fillId="0" borderId="41" xfId="0" applyFont="1" applyBorder="1" applyAlignment="1" applyProtection="1">
      <alignment horizontal="center" vertical="center"/>
      <protection hidden="1"/>
    </xf>
    <xf numFmtId="1" fontId="40" fillId="0" borderId="50" xfId="0" applyNumberFormat="1" applyFont="1" applyFill="1" applyBorder="1" applyAlignment="1" applyProtection="1">
      <alignment vertical="center" wrapText="1"/>
      <protection hidden="1"/>
    </xf>
    <xf numFmtId="166" fontId="40" fillId="0" borderId="42" xfId="0" applyNumberFormat="1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/>
      <protection hidden="1"/>
    </xf>
    <xf numFmtId="167" fontId="40" fillId="0" borderId="42" xfId="0" applyNumberFormat="1" applyFont="1" applyBorder="1" applyAlignment="1" applyProtection="1">
      <alignment horizontal="center" vertical="center"/>
      <protection hidden="1"/>
    </xf>
    <xf numFmtId="170" fontId="40" fillId="0" borderId="42" xfId="0" applyNumberFormat="1" applyFont="1" applyBorder="1" applyAlignment="1" applyProtection="1">
      <alignment horizontal="center" vertical="center"/>
      <protection hidden="1"/>
    </xf>
    <xf numFmtId="166" fontId="40" fillId="0" borderId="9" xfId="0" applyNumberFormat="1" applyFont="1" applyBorder="1" applyAlignment="1" applyProtection="1">
      <alignment horizontal="center" vertical="center"/>
      <protection hidden="1"/>
    </xf>
    <xf numFmtId="167" fontId="40" fillId="0" borderId="9" xfId="0" applyNumberFormat="1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1" fontId="40" fillId="0" borderId="21" xfId="0" applyNumberFormat="1" applyFont="1" applyFill="1" applyBorder="1" applyAlignment="1" applyProtection="1">
      <alignment vertical="center" wrapText="1"/>
      <protection hidden="1"/>
    </xf>
    <xf numFmtId="166" fontId="40" fillId="0" borderId="46" xfId="0" applyNumberFormat="1" applyFont="1" applyBorder="1" applyAlignment="1" applyProtection="1">
      <alignment horizontal="center" vertical="center"/>
      <protection hidden="1"/>
    </xf>
    <xf numFmtId="167" fontId="40" fillId="0" borderId="46" xfId="0" applyNumberFormat="1" applyFont="1" applyBorder="1" applyAlignment="1" applyProtection="1">
      <alignment horizontal="center" vertical="center"/>
      <protection hidden="1"/>
    </xf>
    <xf numFmtId="170" fontId="40" fillId="0" borderId="46" xfId="0" applyNumberFormat="1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64" fillId="0" borderId="7" xfId="0" applyFont="1" applyBorder="1" applyProtection="1">
      <protection hidden="1"/>
    </xf>
    <xf numFmtId="1" fontId="40" fillId="0" borderId="7" xfId="0" applyNumberFormat="1" applyFont="1" applyFill="1" applyBorder="1" applyAlignment="1" applyProtection="1">
      <alignment vertical="center" wrapText="1"/>
      <protection hidden="1"/>
    </xf>
    <xf numFmtId="166" fontId="40" fillId="0" borderId="7" xfId="0" applyNumberFormat="1" applyFont="1" applyBorder="1" applyAlignment="1" applyProtection="1">
      <alignment horizontal="center" vertical="center"/>
      <protection hidden="1"/>
    </xf>
    <xf numFmtId="0" fontId="40" fillId="0" borderId="8" xfId="0" applyFont="1" applyBorder="1" applyProtection="1">
      <protection hidden="1"/>
    </xf>
    <xf numFmtId="1" fontId="40" fillId="0" borderId="42" xfId="0" applyNumberFormat="1" applyFont="1" applyFill="1" applyBorder="1" applyAlignment="1" applyProtection="1">
      <alignment vertical="center" wrapText="1"/>
      <protection hidden="1"/>
    </xf>
    <xf numFmtId="170" fontId="40" fillId="0" borderId="43" xfId="0" applyNumberFormat="1" applyFont="1" applyBorder="1" applyAlignment="1" applyProtection="1">
      <alignment horizontal="center" vertical="center"/>
      <protection hidden="1"/>
    </xf>
    <xf numFmtId="1" fontId="40" fillId="0" borderId="9" xfId="0" applyNumberFormat="1" applyFont="1" applyFill="1" applyBorder="1" applyAlignment="1" applyProtection="1">
      <alignment vertical="center" wrapText="1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" fontId="40" fillId="0" borderId="46" xfId="0" applyNumberFormat="1" applyFont="1" applyFill="1" applyBorder="1" applyAlignment="1" applyProtection="1">
      <alignment vertical="center" wrapText="1"/>
      <protection hidden="1"/>
    </xf>
    <xf numFmtId="170" fontId="40" fillId="0" borderId="39" xfId="0" applyNumberFormat="1" applyFont="1" applyBorder="1" applyAlignment="1" applyProtection="1">
      <alignment horizontal="center" vertical="center"/>
      <protection hidden="1"/>
    </xf>
    <xf numFmtId="0" fontId="19" fillId="5" borderId="15" xfId="0" applyFont="1" applyFill="1" applyBorder="1" applyAlignment="1" applyProtection="1">
      <alignment horizontal="center" vertical="center" wrapText="1"/>
      <protection hidden="1"/>
    </xf>
    <xf numFmtId="0" fontId="19" fillId="5" borderId="53" xfId="0" applyFont="1" applyFill="1" applyBorder="1" applyAlignment="1" applyProtection="1">
      <alignment horizontal="center" vertical="center" wrapText="1"/>
      <protection hidden="1"/>
    </xf>
    <xf numFmtId="170" fontId="19" fillId="5" borderId="67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53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Protection="1">
      <protection hidden="1"/>
    </xf>
    <xf numFmtId="0" fontId="40" fillId="2" borderId="3" xfId="0" applyFont="1" applyFill="1" applyBorder="1" applyAlignment="1" applyProtection="1">
      <alignment horizontal="center" vertical="center"/>
      <protection hidden="1"/>
    </xf>
    <xf numFmtId="170" fontId="40" fillId="2" borderId="3" xfId="0" applyNumberFormat="1" applyFont="1" applyFill="1" applyBorder="1" applyAlignment="1" applyProtection="1">
      <alignment horizontal="center" vertical="center"/>
      <protection hidden="1"/>
    </xf>
    <xf numFmtId="3" fontId="40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 applyProtection="1">
      <alignment horizontal="center" vertical="center"/>
      <protection hidden="1"/>
    </xf>
    <xf numFmtId="167" fontId="40" fillId="2" borderId="42" xfId="0" applyNumberFormat="1" applyFont="1" applyFill="1" applyBorder="1" applyAlignment="1" applyProtection="1">
      <alignment horizontal="center" vertical="center"/>
      <protection hidden="1"/>
    </xf>
    <xf numFmtId="170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6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46" xfId="0" applyFont="1" applyFill="1" applyBorder="1" applyAlignment="1" applyProtection="1">
      <alignment horizontal="center" vertical="center"/>
      <protection hidden="1"/>
    </xf>
    <xf numFmtId="170" fontId="40" fillId="2" borderId="46" xfId="0" applyNumberFormat="1" applyFont="1" applyFill="1" applyBorder="1" applyAlignment="1" applyProtection="1">
      <alignment horizontal="center" vertical="center"/>
      <protection hidden="1"/>
    </xf>
    <xf numFmtId="0" fontId="40" fillId="2" borderId="39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0" fillId="2" borderId="10" xfId="0" applyFont="1" applyFill="1" applyBorder="1" applyAlignment="1" applyProtection="1">
      <alignment horizontal="center" vertical="center"/>
      <protection hidden="1"/>
    </xf>
    <xf numFmtId="0" fontId="64" fillId="2" borderId="0" xfId="0" applyFont="1" applyFill="1" applyBorder="1" applyProtection="1"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170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51" xfId="0" applyFont="1" applyFill="1" applyBorder="1" applyProtection="1">
      <protection hidden="1"/>
    </xf>
    <xf numFmtId="0" fontId="70" fillId="2" borderId="39" xfId="0" applyFont="1" applyFill="1" applyBorder="1" applyAlignment="1" applyProtection="1">
      <alignment horizontal="center" vertical="center" wrapText="1"/>
      <protection hidden="1"/>
    </xf>
    <xf numFmtId="0" fontId="64" fillId="2" borderId="10" xfId="0" applyFont="1" applyFill="1" applyBorder="1" applyProtection="1">
      <protection hidden="1"/>
    </xf>
    <xf numFmtId="0" fontId="40" fillId="2" borderId="49" xfId="0" applyFont="1" applyFill="1" applyBorder="1" applyAlignment="1" applyProtection="1">
      <alignment horizontal="center" vertical="center"/>
      <protection hidden="1"/>
    </xf>
    <xf numFmtId="0" fontId="64" fillId="2" borderId="5" xfId="0" applyFont="1" applyFill="1" applyBorder="1" applyProtection="1">
      <protection hidden="1"/>
    </xf>
    <xf numFmtId="3" fontId="40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34" xfId="0" applyNumberFormat="1" applyFont="1" applyFill="1" applyBorder="1" applyAlignment="1" applyProtection="1">
      <alignment horizontal="center" vertical="center" wrapText="1"/>
      <protection hidden="1"/>
    </xf>
    <xf numFmtId="3" fontId="40" fillId="2" borderId="45" xfId="0" applyNumberFormat="1" applyFont="1" applyFill="1" applyBorder="1" applyAlignment="1" applyProtection="1">
      <alignment horizontal="center" vertical="center" wrapText="1"/>
      <protection hidden="1"/>
    </xf>
    <xf numFmtId="14" fontId="40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64" fillId="0" borderId="25" xfId="0" applyFont="1" applyBorder="1" applyProtection="1"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170" fontId="40" fillId="0" borderId="26" xfId="0" applyNumberFormat="1" applyFont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/>
      <protection hidden="1"/>
    </xf>
    <xf numFmtId="166" fontId="40" fillId="2" borderId="42" xfId="0" applyNumberFormat="1" applyFont="1" applyFill="1" applyBorder="1" applyAlignment="1" applyProtection="1">
      <alignment horizontal="center" vertical="center"/>
      <protection hidden="1"/>
    </xf>
    <xf numFmtId="14" fontId="40" fillId="2" borderId="43" xfId="0" applyNumberFormat="1" applyFont="1" applyFill="1" applyBorder="1" applyAlignment="1">
      <alignment horizontal="center" vertical="center" wrapText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/>
      <protection hidden="1"/>
    </xf>
    <xf numFmtId="14" fontId="40" fillId="2" borderId="36" xfId="0" applyNumberFormat="1" applyFont="1" applyFill="1" applyBorder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/>
      <protection hidden="1"/>
    </xf>
    <xf numFmtId="0" fontId="40" fillId="2" borderId="46" xfId="0" applyFont="1" applyFill="1" applyBorder="1" applyAlignment="1" applyProtection="1">
      <alignment horizontal="center" vertical="center" wrapText="1"/>
      <protection hidden="1"/>
    </xf>
    <xf numFmtId="167" fontId="40" fillId="2" borderId="4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>
      <alignment horizontal="center" vertical="center" wrapText="1"/>
    </xf>
    <xf numFmtId="0" fontId="64" fillId="0" borderId="30" xfId="0" applyFont="1" applyBorder="1" applyProtection="1"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2" fontId="40" fillId="2" borderId="42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64" fillId="0" borderId="29" xfId="0" applyFont="1" applyBorder="1" applyAlignment="1" applyProtection="1">
      <alignment vertical="center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64" fillId="2" borderId="22" xfId="0" applyFont="1" applyFill="1" applyBorder="1" applyAlignment="1" applyProtection="1">
      <alignment vertical="center"/>
      <protection hidden="1"/>
    </xf>
    <xf numFmtId="0" fontId="40" fillId="2" borderId="22" xfId="0" applyFont="1" applyFill="1" applyBorder="1" applyAlignment="1" applyProtection="1">
      <alignment horizontal="center" vertical="center" wrapText="1"/>
      <protection hidden="1"/>
    </xf>
    <xf numFmtId="0" fontId="40" fillId="2" borderId="22" xfId="0" applyFont="1" applyFill="1" applyBorder="1" applyAlignment="1" applyProtection="1">
      <alignment horizontal="center" vertical="center"/>
      <protection hidden="1"/>
    </xf>
    <xf numFmtId="170" fontId="40" fillId="2" borderId="29" xfId="0" applyNumberFormat="1" applyFont="1" applyFill="1" applyBorder="1" applyAlignment="1" applyProtection="1">
      <alignment horizontal="center" vertical="center"/>
      <protection hidden="1"/>
    </xf>
    <xf numFmtId="14" fontId="40" fillId="2" borderId="1" xfId="0" applyNumberFormat="1" applyFont="1" applyFill="1" applyBorder="1" applyAlignment="1">
      <alignment vertical="center" wrapText="1"/>
    </xf>
    <xf numFmtId="0" fontId="40" fillId="0" borderId="0" xfId="0" applyFont="1" applyBorder="1" applyAlignment="1" applyProtection="1">
      <alignment vertical="center" textRotation="90"/>
      <protection hidden="1"/>
    </xf>
    <xf numFmtId="0" fontId="64" fillId="0" borderId="0" xfId="0" applyFont="1" applyBorder="1" applyAlignment="1" applyProtection="1">
      <alignment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4" fontId="40" fillId="0" borderId="0" xfId="0" applyNumberFormat="1" applyFont="1" applyBorder="1" applyAlignment="1" applyProtection="1">
      <alignment horizontal="center" vertical="center"/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9" fillId="5" borderId="21" xfId="0" applyFont="1" applyFill="1" applyBorder="1" applyAlignment="1" applyProtection="1">
      <alignment horizontal="center" vertical="center" wrapText="1"/>
      <protection hidden="1"/>
    </xf>
    <xf numFmtId="0" fontId="19" fillId="5" borderId="22" xfId="0" applyFont="1" applyFill="1" applyBorder="1" applyAlignment="1" applyProtection="1">
      <alignment horizontal="center" vertical="center" wrapText="1"/>
      <protection hidden="1"/>
    </xf>
    <xf numFmtId="170" fontId="19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40" fillId="2" borderId="42" xfId="0" applyFont="1" applyFill="1" applyBorder="1" applyAlignment="1">
      <alignment horizontal="center" vertical="center" wrapText="1"/>
    </xf>
    <xf numFmtId="165" fontId="40" fillId="2" borderId="42" xfId="0" applyNumberFormat="1" applyFont="1" applyFill="1" applyBorder="1" applyAlignment="1">
      <alignment horizontal="center" vertical="center" wrapText="1"/>
    </xf>
    <xf numFmtId="167" fontId="40" fillId="2" borderId="42" xfId="0" applyNumberFormat="1" applyFont="1" applyFill="1" applyBorder="1" applyAlignment="1">
      <alignment horizontal="center" vertical="center" wrapText="1"/>
    </xf>
    <xf numFmtId="14" fontId="40" fillId="0" borderId="43" xfId="0" applyNumberFormat="1" applyFont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>
      <alignment horizontal="center" vertical="center" wrapText="1"/>
    </xf>
    <xf numFmtId="165" fontId="40" fillId="2" borderId="9" xfId="0" applyNumberFormat="1" applyFont="1" applyFill="1" applyBorder="1" applyAlignment="1">
      <alignment horizontal="center" vertical="center" wrapText="1"/>
    </xf>
    <xf numFmtId="167" fontId="40" fillId="2" borderId="9" xfId="0" applyNumberFormat="1" applyFont="1" applyFill="1" applyBorder="1" applyAlignment="1">
      <alignment horizontal="center" vertical="center" wrapText="1"/>
    </xf>
    <xf numFmtId="2" fontId="40" fillId="2" borderId="9" xfId="0" applyNumberFormat="1" applyFont="1" applyFill="1" applyBorder="1" applyAlignment="1">
      <alignment horizontal="center" vertical="center" wrapText="1"/>
    </xf>
    <xf numFmtId="166" fontId="40" fillId="2" borderId="9" xfId="0" applyNumberFormat="1" applyFont="1" applyFill="1" applyBorder="1" applyAlignment="1">
      <alignment horizontal="center" vertical="center" wrapText="1"/>
    </xf>
    <xf numFmtId="2" fontId="40" fillId="2" borderId="46" xfId="0" applyNumberFormat="1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165" fontId="40" fillId="2" borderId="46" xfId="0" applyNumberFormat="1" applyFont="1" applyFill="1" applyBorder="1" applyAlignment="1">
      <alignment horizontal="center" vertical="center" wrapText="1"/>
    </xf>
    <xf numFmtId="167" fontId="40" fillId="2" borderId="46" xfId="0" applyNumberFormat="1" applyFont="1" applyFill="1" applyBorder="1" applyAlignment="1">
      <alignment horizontal="center" vertical="center" wrapText="1"/>
    </xf>
    <xf numFmtId="14" fontId="40" fillId="0" borderId="39" xfId="0" applyNumberFormat="1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24" xfId="0" applyFont="1" applyBorder="1" applyProtection="1">
      <protection hidden="1"/>
    </xf>
    <xf numFmtId="2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51" xfId="0" applyFont="1" applyBorder="1" applyProtection="1">
      <protection hidden="1"/>
    </xf>
    <xf numFmtId="2" fontId="40" fillId="2" borderId="42" xfId="0" applyNumberFormat="1" applyFont="1" applyFill="1" applyBorder="1" applyAlignment="1">
      <alignment horizontal="center" vertical="center" wrapText="1"/>
    </xf>
    <xf numFmtId="14" fontId="40" fillId="2" borderId="43" xfId="0" applyNumberFormat="1" applyFont="1" applyFill="1" applyBorder="1" applyAlignment="1" applyProtection="1">
      <alignment horizontal="center" vertical="center"/>
      <protection hidden="1"/>
    </xf>
    <xf numFmtId="14" fontId="40" fillId="2" borderId="36" xfId="0" applyNumberFormat="1" applyFont="1" applyFill="1" applyBorder="1" applyAlignment="1" applyProtection="1">
      <alignment horizontal="center" vertical="center"/>
      <protection hidden="1"/>
    </xf>
    <xf numFmtId="14" fontId="40" fillId="2" borderId="39" xfId="0" applyNumberFormat="1" applyFont="1" applyFill="1" applyBorder="1" applyAlignment="1" applyProtection="1">
      <alignment horizontal="center" vertical="center"/>
      <protection hidden="1"/>
    </xf>
    <xf numFmtId="0" fontId="19" fillId="5" borderId="67" xfId="0" applyFont="1" applyFill="1" applyBorder="1" applyAlignment="1" applyProtection="1">
      <alignment horizontal="center" vertical="center" wrapText="1"/>
      <protection hidden="1"/>
    </xf>
    <xf numFmtId="0" fontId="64" fillId="0" borderId="41" xfId="0" applyFont="1" applyBorder="1" applyProtection="1"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9" fillId="2" borderId="46" xfId="0" applyFont="1" applyFill="1" applyBorder="1" applyAlignment="1" applyProtection="1">
      <alignment horizontal="center" vertical="center" wrapText="1"/>
      <protection hidden="1"/>
    </xf>
    <xf numFmtId="166" fontId="19" fillId="2" borderId="46" xfId="0" applyNumberFormat="1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170" fontId="19" fillId="2" borderId="46" xfId="0" applyNumberFormat="1" applyFont="1" applyFill="1" applyBorder="1" applyAlignment="1">
      <alignment horizontal="center" vertical="center" wrapText="1"/>
    </xf>
    <xf numFmtId="14" fontId="19" fillId="2" borderId="39" xfId="0" applyNumberFormat="1" applyFont="1" applyFill="1" applyBorder="1" applyAlignment="1">
      <alignment horizontal="center" vertical="center" wrapText="1"/>
    </xf>
    <xf numFmtId="0" fontId="40" fillId="2" borderId="0" xfId="0" applyFont="1" applyFill="1" applyBorder="1" applyProtection="1">
      <protection hidden="1"/>
    </xf>
    <xf numFmtId="0" fontId="64" fillId="0" borderId="49" xfId="0" applyFont="1" applyBorder="1" applyProtection="1">
      <protection hidden="1"/>
    </xf>
    <xf numFmtId="0" fontId="40" fillId="0" borderId="5" xfId="0" applyFont="1" applyBorder="1" applyAlignment="1" applyProtection="1">
      <alignment vertical="center" textRotation="90" wrapText="1"/>
      <protection hidden="1"/>
    </xf>
    <xf numFmtId="0" fontId="40" fillId="0" borderId="5" xfId="0" applyFont="1" applyBorder="1" applyAlignment="1" applyProtection="1">
      <alignment horizontal="center" vertical="center"/>
      <protection hidden="1"/>
    </xf>
    <xf numFmtId="0" fontId="64" fillId="0" borderId="5" xfId="0" applyFont="1" applyBorder="1" applyAlignment="1" applyProtection="1">
      <alignment vertical="center"/>
      <protection hidden="1"/>
    </xf>
    <xf numFmtId="0" fontId="40" fillId="2" borderId="5" xfId="0" applyFont="1" applyFill="1" applyBorder="1" applyAlignment="1" applyProtection="1">
      <alignment horizontal="center" vertical="center"/>
      <protection hidden="1"/>
    </xf>
    <xf numFmtId="170" fontId="40" fillId="2" borderId="5" xfId="0" applyNumberFormat="1" applyFont="1" applyFill="1" applyBorder="1" applyAlignment="1" applyProtection="1">
      <alignment horizontal="center" vertical="center"/>
      <protection hidden="1"/>
    </xf>
    <xf numFmtId="14" fontId="40" fillId="2" borderId="5" xfId="0" applyNumberFormat="1" applyFont="1" applyFill="1" applyBorder="1" applyAlignment="1" applyProtection="1">
      <alignment horizontal="center" vertical="center"/>
      <protection hidden="1"/>
    </xf>
    <xf numFmtId="0" fontId="40" fillId="2" borderId="5" xfId="0" applyFont="1" applyFill="1" applyBorder="1" applyProtection="1">
      <protection hidden="1"/>
    </xf>
    <xf numFmtId="0" fontId="64" fillId="0" borderId="40" xfId="0" applyFont="1" applyFill="1" applyBorder="1" applyProtection="1">
      <protection hidden="1"/>
    </xf>
    <xf numFmtId="2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42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6" fillId="5" borderId="18" xfId="0" applyFont="1" applyFill="1" applyBorder="1" applyAlignment="1" applyProtection="1">
      <alignment horizontal="center" vertical="center" wrapText="1"/>
      <protection hidden="1"/>
    </xf>
    <xf numFmtId="0" fontId="71" fillId="2" borderId="23" xfId="0" applyFont="1" applyFill="1" applyBorder="1" applyAlignment="1" applyProtection="1">
      <alignment horizontal="center" vertical="center" wrapText="1"/>
      <protection hidden="1"/>
    </xf>
    <xf numFmtId="0" fontId="68" fillId="16" borderId="4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64" fillId="2" borderId="3" xfId="0" applyFont="1" applyFill="1" applyBorder="1" applyProtection="1">
      <protection hidden="1"/>
    </xf>
    <xf numFmtId="0" fontId="64" fillId="2" borderId="6" xfId="0" applyFont="1" applyFill="1" applyBorder="1" applyProtection="1">
      <protection hidden="1"/>
    </xf>
    <xf numFmtId="0" fontId="64" fillId="2" borderId="7" xfId="0" applyFont="1" applyFill="1" applyBorder="1" applyProtection="1">
      <protection hidden="1"/>
    </xf>
    <xf numFmtId="0" fontId="40" fillId="2" borderId="7" xfId="0" applyFont="1" applyFill="1" applyBorder="1" applyAlignment="1" applyProtection="1">
      <alignment horizontal="center" vertical="center"/>
      <protection hidden="1"/>
    </xf>
    <xf numFmtId="170" fontId="40" fillId="2" borderId="7" xfId="0" applyNumberFormat="1" applyFont="1" applyFill="1" applyBorder="1" applyAlignment="1" applyProtection="1">
      <alignment horizontal="center" vertical="center"/>
      <protection hidden="1"/>
    </xf>
    <xf numFmtId="0" fontId="40" fillId="2" borderId="8" xfId="0" applyFont="1" applyFill="1" applyBorder="1" applyProtection="1">
      <protection hidden="1"/>
    </xf>
    <xf numFmtId="0" fontId="64" fillId="0" borderId="7" xfId="0" applyFont="1" applyBorder="1" applyAlignment="1" applyProtection="1">
      <alignment horizontal="center" vertical="center"/>
      <protection hidden="1"/>
    </xf>
    <xf numFmtId="0" fontId="64" fillId="0" borderId="8" xfId="0" applyFont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 applyProtection="1">
      <alignment vertical="center" textRotation="90"/>
      <protection hidden="1"/>
    </xf>
    <xf numFmtId="0" fontId="40" fillId="2" borderId="3" xfId="0" applyFont="1" applyFill="1" applyBorder="1" applyAlignment="1" applyProtection="1">
      <alignment vertical="center" textRotation="90"/>
      <protection hidden="1"/>
    </xf>
    <xf numFmtId="0" fontId="40" fillId="2" borderId="5" xfId="0" applyFont="1" applyFill="1" applyBorder="1" applyAlignment="1" applyProtection="1">
      <alignment vertical="center" textRotation="90"/>
      <protection hidden="1"/>
    </xf>
    <xf numFmtId="2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9" fontId="41" fillId="5" borderId="35" xfId="0" applyNumberFormat="1" applyFont="1" applyFill="1" applyBorder="1" applyAlignment="1" applyProtection="1">
      <alignment horizontal="center" vertical="center"/>
      <protection hidden="1"/>
    </xf>
    <xf numFmtId="169" fontId="41" fillId="2" borderId="35" xfId="0" applyNumberFormat="1" applyFont="1" applyFill="1" applyBorder="1" applyAlignment="1" applyProtection="1">
      <alignment vertical="center"/>
      <protection hidden="1"/>
    </xf>
    <xf numFmtId="169" fontId="41" fillId="2" borderId="35" xfId="0" applyNumberFormat="1" applyFont="1" applyFill="1" applyBorder="1" applyAlignment="1" applyProtection="1">
      <alignment vertical="center" wrapText="1"/>
      <protection hidden="1"/>
    </xf>
    <xf numFmtId="169" fontId="72" fillId="2" borderId="35" xfId="0" applyNumberFormat="1" applyFont="1" applyFill="1" applyBorder="1" applyAlignment="1" applyProtection="1">
      <alignment vertical="center" wrapText="1"/>
      <protection hidden="1"/>
    </xf>
    <xf numFmtId="14" fontId="72" fillId="5" borderId="9" xfId="0" applyNumberFormat="1" applyFont="1" applyFill="1" applyBorder="1" applyAlignment="1" applyProtection="1">
      <alignment horizontal="center" vertical="center" wrapText="1"/>
      <protection hidden="1"/>
    </xf>
    <xf numFmtId="14" fontId="41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41" fillId="5" borderId="9" xfId="0" applyFont="1" applyFill="1" applyBorder="1" applyAlignment="1" applyProtection="1">
      <alignment horizontal="center" vertical="center" wrapText="1"/>
      <protection hidden="1"/>
    </xf>
    <xf numFmtId="0" fontId="72" fillId="5" borderId="9" xfId="0" applyFont="1" applyFill="1" applyBorder="1" applyAlignment="1" applyProtection="1">
      <alignment horizontal="center" vertical="center" wrapText="1"/>
      <protection hidden="1"/>
    </xf>
    <xf numFmtId="0" fontId="72" fillId="7" borderId="9" xfId="0" applyFont="1" applyFill="1" applyBorder="1" applyAlignment="1" applyProtection="1">
      <alignment horizontal="center" vertical="center" wrapText="1"/>
      <protection hidden="1"/>
    </xf>
    <xf numFmtId="0" fontId="72" fillId="7" borderId="46" xfId="0" applyFont="1" applyFill="1" applyBorder="1" applyAlignment="1" applyProtection="1">
      <alignment horizontal="center" vertical="center" wrapText="1"/>
      <protection hidden="1"/>
    </xf>
    <xf numFmtId="165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1" fontId="2" fillId="7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7" xfId="0" applyNumberFormat="1" applyFont="1" applyFill="1" applyBorder="1" applyAlignment="1" applyProtection="1">
      <alignment horizontal="center" vertical="center"/>
      <protection hidden="1"/>
    </xf>
    <xf numFmtId="2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59" xfId="0" applyNumberFormat="1" applyFont="1" applyFill="1" applyBorder="1" applyAlignment="1" applyProtection="1">
      <alignment horizontal="center" vertical="center"/>
      <protection hidden="1"/>
    </xf>
    <xf numFmtId="2" fontId="2" fillId="11" borderId="46" xfId="1" applyNumberFormat="1" applyFont="1" applyFill="1" applyBorder="1" applyAlignment="1" applyProtection="1">
      <alignment horizontal="center" vertical="center"/>
      <protection locked="0" hidden="1"/>
    </xf>
    <xf numFmtId="1" fontId="3" fillId="7" borderId="36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9" xfId="0" applyNumberFormat="1" applyFont="1" applyFill="1" applyBorder="1" applyAlignment="1" applyProtection="1">
      <alignment horizontal="center" vertical="center" wrapText="1"/>
      <protection hidden="1"/>
    </xf>
    <xf numFmtId="172" fontId="21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2" fontId="17" fillId="16" borderId="75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2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74" xfId="1" applyNumberFormat="1" applyFont="1" applyFill="1" applyBorder="1" applyAlignment="1" applyProtection="1">
      <alignment horizontal="center" vertical="center" wrapText="1"/>
      <protection hidden="1"/>
    </xf>
    <xf numFmtId="2" fontId="17" fillId="21" borderId="69" xfId="1" applyNumberFormat="1" applyFont="1" applyFill="1" applyBorder="1" applyAlignment="1" applyProtection="1">
      <alignment horizontal="center" vertical="center" wrapText="1"/>
      <protection hidden="1"/>
    </xf>
    <xf numFmtId="2" fontId="17" fillId="16" borderId="69" xfId="1" applyNumberFormat="1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Protection="1">
      <protection hidden="1"/>
    </xf>
    <xf numFmtId="0" fontId="64" fillId="0" borderId="46" xfId="0" applyFont="1" applyFill="1" applyBorder="1" applyProtection="1">
      <protection hidden="1"/>
    </xf>
    <xf numFmtId="0" fontId="40" fillId="2" borderId="42" xfId="0" applyFont="1" applyFill="1" applyBorder="1" applyProtection="1">
      <protection hidden="1"/>
    </xf>
    <xf numFmtId="0" fontId="64" fillId="0" borderId="39" xfId="0" applyFont="1" applyBorder="1" applyProtection="1">
      <protection hidden="1"/>
    </xf>
    <xf numFmtId="166" fontId="3" fillId="7" borderId="9" xfId="0" applyNumberFormat="1" applyFont="1" applyFill="1" applyBorder="1" applyAlignment="1" applyProtection="1">
      <alignment horizontal="center" vertical="center"/>
      <protection hidden="1"/>
    </xf>
    <xf numFmtId="165" fontId="21" fillId="7" borderId="32" xfId="0" applyNumberFormat="1" applyFont="1" applyFill="1" applyBorder="1" applyAlignment="1" applyProtection="1">
      <alignment horizontal="center" vertical="center" wrapText="1"/>
      <protection hidden="1"/>
    </xf>
    <xf numFmtId="165" fontId="21" fillId="12" borderId="38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/>
      <protection hidden="1"/>
    </xf>
    <xf numFmtId="170" fontId="40" fillId="0" borderId="3" xfId="0" applyNumberFormat="1" applyFont="1" applyFill="1" applyBorder="1" applyAlignment="1" applyProtection="1">
      <alignment horizontal="center" vertical="center"/>
      <protection hidden="1"/>
    </xf>
    <xf numFmtId="0" fontId="40" fillId="0" borderId="4" xfId="0" applyFont="1" applyFill="1" applyBorder="1" applyProtection="1">
      <protection hidden="1"/>
    </xf>
    <xf numFmtId="0" fontId="40" fillId="0" borderId="5" xfId="0" applyFont="1" applyFill="1" applyBorder="1" applyAlignment="1" applyProtection="1">
      <alignment horizontal="center" vertical="center" wrapText="1"/>
      <protection hidden="1"/>
    </xf>
    <xf numFmtId="0" fontId="40" fillId="0" borderId="5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17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20" xfId="0" applyFont="1" applyBorder="1" applyAlignment="1" applyProtection="1">
      <alignment horizontal="center" vertical="center"/>
      <protection hidden="1"/>
    </xf>
    <xf numFmtId="0" fontId="64" fillId="0" borderId="19" xfId="0" applyFont="1" applyBorder="1" applyAlignment="1" applyProtection="1">
      <alignment horizontal="center" vertical="center"/>
      <protection hidden="1"/>
    </xf>
    <xf numFmtId="0" fontId="64" fillId="0" borderId="22" xfId="0" applyFont="1" applyBorder="1" applyAlignment="1" applyProtection="1">
      <alignment horizontal="center" vertical="center"/>
      <protection hidden="1"/>
    </xf>
    <xf numFmtId="0" fontId="40" fillId="0" borderId="51" xfId="0" applyFont="1" applyFill="1" applyBorder="1" applyProtection="1">
      <protection hidden="1"/>
    </xf>
    <xf numFmtId="0" fontId="64" fillId="0" borderId="5" xfId="0" applyFont="1" applyBorder="1" applyProtection="1">
      <protection hidden="1"/>
    </xf>
    <xf numFmtId="0" fontId="40" fillId="0" borderId="3" xfId="0" applyFont="1" applyFill="1" applyBorder="1" applyProtection="1">
      <protection hidden="1"/>
    </xf>
    <xf numFmtId="0" fontId="40" fillId="0" borderId="7" xfId="0" applyFont="1" applyBorder="1" applyProtection="1">
      <protection hidden="1"/>
    </xf>
    <xf numFmtId="0" fontId="40" fillId="0" borderId="2" xfId="0" applyFont="1" applyBorder="1" applyProtection="1">
      <protection hidden="1"/>
    </xf>
    <xf numFmtId="3" fontId="40" fillId="31" borderId="41" xfId="0" applyNumberFormat="1" applyFont="1" applyFill="1" applyBorder="1" applyAlignment="1" applyProtection="1">
      <alignment horizontal="center" vertical="center" wrapText="1"/>
      <protection hidden="1"/>
    </xf>
    <xf numFmtId="3" fontId="40" fillId="31" borderId="32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Protection="1">
      <protection hidden="1"/>
    </xf>
    <xf numFmtId="1" fontId="40" fillId="0" borderId="0" xfId="0" applyNumberFormat="1" applyFont="1" applyFill="1" applyBorder="1" applyAlignment="1" applyProtection="1">
      <alignment vertical="center" wrapText="1"/>
      <protection hidden="1"/>
    </xf>
    <xf numFmtId="166" fontId="40" fillId="0" borderId="0" xfId="0" applyNumberFormat="1" applyFont="1" applyBorder="1" applyAlignment="1" applyProtection="1">
      <alignment horizontal="center" vertical="center"/>
      <protection hidden="1"/>
    </xf>
    <xf numFmtId="0" fontId="64" fillId="0" borderId="51" xfId="0" applyFont="1" applyFill="1" applyBorder="1" applyAlignment="1" applyProtection="1">
      <alignment horizontal="center" vertical="center"/>
      <protection hidden="1"/>
    </xf>
    <xf numFmtId="0" fontId="7" fillId="16" borderId="34" xfId="0" applyFont="1" applyFill="1" applyBorder="1" applyAlignment="1" applyProtection="1">
      <alignment horizontal="center" vertical="center" wrapText="1"/>
      <protection hidden="1"/>
    </xf>
    <xf numFmtId="0" fontId="7" fillId="16" borderId="47" xfId="0" applyFont="1" applyFill="1" applyBorder="1" applyAlignment="1" applyProtection="1">
      <alignment horizontal="center" vertical="center" wrapText="1"/>
      <protection hidden="1"/>
    </xf>
    <xf numFmtId="166" fontId="3" fillId="6" borderId="34" xfId="0" applyNumberFormat="1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/>
      <protection locked="0" hidden="1"/>
    </xf>
    <xf numFmtId="0" fontId="3" fillId="6" borderId="46" xfId="0" applyFont="1" applyFill="1" applyBorder="1" applyAlignment="1" applyProtection="1">
      <alignment horizontal="center" vertical="center" wrapText="1"/>
      <protection locked="0" hidden="1"/>
    </xf>
    <xf numFmtId="2" fontId="21" fillId="0" borderId="0" xfId="0" applyNumberFormat="1" applyFont="1" applyAlignment="1" applyProtection="1">
      <alignment vertical="center" wrapText="1"/>
      <protection hidden="1"/>
    </xf>
    <xf numFmtId="0" fontId="21" fillId="2" borderId="3" xfId="0" applyFont="1" applyFill="1" applyBorder="1" applyAlignment="1" applyProtection="1">
      <alignment vertical="center" wrapText="1"/>
      <protection hidden="1"/>
    </xf>
    <xf numFmtId="0" fontId="21" fillId="2" borderId="4" xfId="0" applyFont="1" applyFill="1" applyBorder="1" applyAlignment="1" applyProtection="1">
      <alignment vertical="center" wrapText="1"/>
      <protection hidden="1"/>
    </xf>
    <xf numFmtId="0" fontId="21" fillId="2" borderId="49" xfId="0" applyFont="1" applyFill="1" applyBorder="1" applyAlignment="1" applyProtection="1">
      <alignment vertical="center" wrapText="1"/>
      <protection hidden="1"/>
    </xf>
    <xf numFmtId="0" fontId="21" fillId="2" borderId="5" xfId="0" applyFont="1" applyFill="1" applyBorder="1" applyAlignment="1" applyProtection="1">
      <alignment vertical="center" wrapText="1"/>
      <protection hidden="1"/>
    </xf>
    <xf numFmtId="0" fontId="21" fillId="2" borderId="40" xfId="0" applyFont="1" applyFill="1" applyBorder="1" applyAlignment="1" applyProtection="1">
      <alignment vertical="center" wrapText="1"/>
      <protection hidden="1"/>
    </xf>
    <xf numFmtId="0" fontId="7" fillId="5" borderId="49" xfId="0" applyFont="1" applyFill="1" applyBorder="1" applyAlignment="1" applyProtection="1">
      <alignment horizontal="center" vertical="center" wrapText="1"/>
      <protection hidden="1"/>
    </xf>
    <xf numFmtId="166" fontId="21" fillId="20" borderId="49" xfId="0" applyNumberFormat="1" applyFont="1" applyFill="1" applyBorder="1" applyAlignment="1" applyProtection="1">
      <alignment horizontal="center" vertical="center" wrapText="1"/>
      <protection hidden="1"/>
    </xf>
    <xf numFmtId="166" fontId="21" fillId="20" borderId="80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1" xfId="0" applyFont="1" applyFill="1" applyBorder="1" applyAlignment="1" applyProtection="1">
      <alignment horizontal="center" vertical="center" wrapText="1"/>
      <protection hidden="1"/>
    </xf>
    <xf numFmtId="166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2" xfId="0" applyNumberFormat="1" applyFont="1" applyFill="1" applyBorder="1" applyAlignment="1" applyProtection="1">
      <alignment horizontal="center" vertical="center"/>
      <protection hidden="1"/>
    </xf>
    <xf numFmtId="1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2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45" xfId="0" applyFont="1" applyFill="1" applyBorder="1" applyAlignment="1" applyProtection="1">
      <alignment horizontal="center" vertical="center" wrapText="1"/>
      <protection hidden="1"/>
    </xf>
    <xf numFmtId="166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66" fontId="3" fillId="7" borderId="46" xfId="0" applyNumberFormat="1" applyFont="1" applyFill="1" applyBorder="1" applyAlignment="1" applyProtection="1">
      <alignment horizontal="center" vertical="center"/>
      <protection hidden="1"/>
    </xf>
    <xf numFmtId="1" fontId="3" fillId="6" borderId="46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6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39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45" xfId="0" applyNumberFormat="1" applyFont="1" applyFill="1" applyBorder="1" applyAlignment="1" applyProtection="1">
      <alignment horizontal="center" vertical="center"/>
      <protection locked="0" hidden="1"/>
    </xf>
    <xf numFmtId="1" fontId="3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/>
      <protection locked="0" hidden="1"/>
    </xf>
    <xf numFmtId="0" fontId="3" fillId="6" borderId="42" xfId="0" applyFont="1" applyFill="1" applyBorder="1" applyAlignment="1" applyProtection="1">
      <alignment horizontal="center" vertical="center" wrapText="1"/>
      <protection locked="0" hidden="1"/>
    </xf>
    <xf numFmtId="1" fontId="3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43" xfId="0" applyFont="1" applyFill="1" applyBorder="1" applyAlignment="1" applyProtection="1">
      <alignment horizontal="center" vertical="center" wrapText="1"/>
      <protection locked="0"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26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25" fillId="5" borderId="19" xfId="0" applyFont="1" applyFill="1" applyBorder="1" applyAlignment="1" applyProtection="1">
      <alignment horizontal="center" vertical="center" wrapText="1"/>
      <protection hidden="1"/>
    </xf>
    <xf numFmtId="0" fontId="40" fillId="0" borderId="43" xfId="0" applyFont="1" applyBorder="1" applyProtection="1"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 wrapText="1"/>
      <protection hidden="1"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1" fillId="5" borderId="46" xfId="0" applyFont="1" applyFill="1" applyBorder="1" applyAlignment="1" applyProtection="1">
      <alignment horizontal="center" vertical="center" wrapText="1"/>
      <protection hidden="1"/>
    </xf>
    <xf numFmtId="0" fontId="1" fillId="5" borderId="39" xfId="0" applyFont="1" applyFill="1" applyBorder="1" applyAlignment="1" applyProtection="1">
      <alignment horizontal="center" vertical="center" wrapText="1"/>
      <protection hidden="1"/>
    </xf>
    <xf numFmtId="0" fontId="1" fillId="5" borderId="32" xfId="0" applyFont="1" applyFill="1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2" fontId="2" fillId="12" borderId="18" xfId="0" applyNumberFormat="1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9" fillId="24" borderId="73" xfId="6" applyBorder="1" applyAlignment="1" applyProtection="1">
      <alignment horizontal="center" vertical="center" wrapText="1"/>
      <protection locked="0" hidden="1"/>
    </xf>
    <xf numFmtId="0" fontId="9" fillId="24" borderId="52" xfId="6" applyBorder="1" applyAlignment="1" applyProtection="1">
      <alignment horizontal="center" vertical="center" wrapText="1"/>
      <protection locked="0" hidden="1"/>
    </xf>
    <xf numFmtId="0" fontId="19" fillId="5" borderId="73" xfId="0" applyFont="1" applyFill="1" applyBorder="1" applyAlignment="1" applyProtection="1">
      <alignment horizontal="center" vertical="center"/>
      <protection hidden="1"/>
    </xf>
    <xf numFmtId="0" fontId="19" fillId="5" borderId="73" xfId="0" applyFont="1" applyFill="1" applyBorder="1" applyAlignment="1" applyProtection="1">
      <alignment horizontal="center" vertical="center" wrapText="1"/>
      <protection hidden="1"/>
    </xf>
    <xf numFmtId="0" fontId="64" fillId="0" borderId="42" xfId="0" applyFont="1" applyBorder="1" applyAlignment="1" applyProtection="1">
      <alignment horizontal="center"/>
      <protection hidden="1"/>
    </xf>
    <xf numFmtId="0" fontId="40" fillId="0" borderId="43" xfId="0" applyFont="1" applyBorder="1" applyAlignment="1" applyProtection="1">
      <alignment horizontal="center"/>
      <protection hidden="1"/>
    </xf>
    <xf numFmtId="1" fontId="21" fillId="1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8" xfId="6" applyBorder="1" applyAlignment="1" applyProtection="1">
      <alignment horizontal="center" vertical="center" wrapText="1"/>
      <protection locked="0" hidden="1"/>
    </xf>
    <xf numFmtId="0" fontId="1" fillId="4" borderId="41" xfId="0" applyFont="1" applyFill="1" applyBorder="1" applyAlignment="1" applyProtection="1">
      <alignment horizontal="center" vertical="center" wrapText="1"/>
      <protection hidden="1"/>
    </xf>
    <xf numFmtId="165" fontId="2" fillId="12" borderId="43" xfId="0" applyNumberFormat="1" applyFont="1" applyFill="1" applyBorder="1" applyAlignment="1" applyProtection="1">
      <alignment horizontal="center" vertical="center"/>
      <protection hidden="1"/>
    </xf>
    <xf numFmtId="0" fontId="1" fillId="4" borderId="34" xfId="0" applyFont="1" applyFill="1" applyBorder="1" applyAlignment="1" applyProtection="1">
      <alignment horizontal="center" vertical="center" wrapText="1"/>
      <protection hidden="1"/>
    </xf>
    <xf numFmtId="2" fontId="2" fillId="13" borderId="36" xfId="0" applyNumberFormat="1" applyFont="1" applyFill="1" applyBorder="1" applyAlignment="1" applyProtection="1">
      <alignment horizontal="center" vertical="center"/>
      <protection hidden="1"/>
    </xf>
    <xf numFmtId="0" fontId="1" fillId="4" borderId="45" xfId="0" applyFont="1" applyFill="1" applyBorder="1" applyAlignment="1" applyProtection="1">
      <alignment horizontal="center" vertical="center" wrapText="1"/>
      <protection hidden="1"/>
    </xf>
    <xf numFmtId="0" fontId="40" fillId="0" borderId="53" xfId="0" applyFont="1" applyBorder="1" applyAlignment="1" applyProtection="1">
      <alignment horizontal="center"/>
      <protection hidden="1"/>
    </xf>
    <xf numFmtId="0" fontId="40" fillId="0" borderId="67" xfId="0" applyFont="1" applyBorder="1" applyAlignment="1" applyProtection="1">
      <alignment horizontal="center"/>
      <protection hidden="1"/>
    </xf>
    <xf numFmtId="2" fontId="19" fillId="16" borderId="20" xfId="1" applyNumberFormat="1" applyFont="1" applyFill="1" applyBorder="1" applyAlignment="1" applyProtection="1">
      <alignment horizontal="center" vertical="center" wrapText="1"/>
      <protection hidden="1"/>
    </xf>
    <xf numFmtId="2" fontId="19" fillId="16" borderId="1" xfId="1" applyNumberFormat="1" applyFont="1" applyFill="1" applyBorder="1" applyAlignment="1" applyProtection="1">
      <alignment horizontal="center" vertical="center" wrapText="1"/>
      <protection hidden="1"/>
    </xf>
    <xf numFmtId="2" fontId="19" fillId="21" borderId="20" xfId="1" applyNumberFormat="1" applyFont="1" applyFill="1" applyBorder="1" applyAlignment="1" applyProtection="1">
      <alignment horizontal="center" vertical="center" wrapText="1"/>
      <protection hidden="1"/>
    </xf>
    <xf numFmtId="170" fontId="64" fillId="0" borderId="0" xfId="0" applyNumberFormat="1" applyFont="1" applyFill="1" applyBorder="1" applyProtection="1">
      <protection hidden="1"/>
    </xf>
    <xf numFmtId="0" fontId="40" fillId="2" borderId="57" xfId="0" applyFont="1" applyFill="1" applyBorder="1" applyAlignment="1" applyProtection="1">
      <alignment horizontal="center"/>
      <protection hidden="1"/>
    </xf>
    <xf numFmtId="0" fontId="40" fillId="2" borderId="59" xfId="0" applyFont="1" applyFill="1" applyBorder="1" applyAlignment="1" applyProtection="1">
      <alignment horizontal="center"/>
      <protection hidden="1"/>
    </xf>
    <xf numFmtId="0" fontId="40" fillId="21" borderId="1" xfId="0" applyFont="1" applyFill="1" applyBorder="1" applyAlignment="1" applyProtection="1">
      <alignment horizontal="center" vertical="center"/>
      <protection hidden="1"/>
    </xf>
    <xf numFmtId="2" fontId="40" fillId="0" borderId="0" xfId="0" applyNumberFormat="1" applyFont="1" applyBorder="1" applyAlignment="1" applyProtection="1">
      <alignment horizontal="center" vertical="center"/>
      <protection hidden="1"/>
    </xf>
    <xf numFmtId="2" fontId="2" fillId="2" borderId="0" xfId="0" applyNumberFormat="1" applyFont="1" applyFill="1" applyProtection="1">
      <protection hidden="1"/>
    </xf>
    <xf numFmtId="2" fontId="21" fillId="15" borderId="22" xfId="0" applyNumberFormat="1" applyFont="1" applyFill="1" applyBorder="1" applyAlignment="1" applyProtection="1">
      <alignment horizontal="center" vertical="center" wrapText="1"/>
      <protection hidden="1"/>
    </xf>
    <xf numFmtId="167" fontId="5" fillId="5" borderId="71" xfId="0" applyNumberFormat="1" applyFont="1" applyFill="1" applyBorder="1" applyAlignment="1" applyProtection="1">
      <alignment horizontal="center" vertical="center" wrapText="1"/>
      <protection hidden="1"/>
    </xf>
    <xf numFmtId="1" fontId="9" fillId="24" borderId="1" xfId="6" applyNumberFormat="1" applyBorder="1" applyAlignment="1" applyProtection="1">
      <alignment horizontal="center" vertical="center"/>
      <protection locked="0" hidden="1"/>
    </xf>
    <xf numFmtId="169" fontId="21" fillId="2" borderId="63" xfId="0" applyNumberFormat="1" applyFont="1" applyFill="1" applyBorder="1" applyAlignment="1" applyProtection="1">
      <alignment horizontal="center" vertical="center"/>
      <protection hidden="1"/>
    </xf>
    <xf numFmtId="0" fontId="38" fillId="7" borderId="36" xfId="0" applyFont="1" applyFill="1" applyBorder="1" applyAlignment="1" applyProtection="1">
      <alignment horizontal="center" vertical="center" wrapText="1"/>
      <protection hidden="1"/>
    </xf>
    <xf numFmtId="0" fontId="38" fillId="7" borderId="9" xfId="0" applyFont="1" applyFill="1" applyBorder="1" applyAlignment="1" applyProtection="1">
      <alignment horizontal="center" vertical="center" wrapText="1"/>
      <protection hidden="1"/>
    </xf>
    <xf numFmtId="0" fontId="40" fillId="32" borderId="0" xfId="0" applyFont="1" applyFill="1" applyBorder="1" applyProtection="1">
      <protection hidden="1"/>
    </xf>
    <xf numFmtId="0" fontId="40" fillId="7" borderId="9" xfId="0" applyFont="1" applyFill="1" applyBorder="1" applyAlignment="1" applyProtection="1">
      <alignment horizontal="center" vertical="center"/>
      <protection hidden="1"/>
    </xf>
    <xf numFmtId="0" fontId="40" fillId="7" borderId="9" xfId="0" applyFont="1" applyFill="1" applyBorder="1" applyAlignment="1" applyProtection="1">
      <alignment horizontal="center" wrapText="1"/>
      <protection hidden="1"/>
    </xf>
    <xf numFmtId="0" fontId="40" fillId="7" borderId="34" xfId="0" applyFont="1" applyFill="1" applyBorder="1" applyAlignment="1" applyProtection="1">
      <alignment horizontal="center" vertical="center"/>
      <protection hidden="1"/>
    </xf>
    <xf numFmtId="1" fontId="2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36" xfId="0" applyFont="1" applyFill="1" applyBorder="1" applyAlignment="1" applyProtection="1">
      <alignment horizontal="center" vertical="center"/>
      <protection hidden="1"/>
    </xf>
    <xf numFmtId="0" fontId="2" fillId="33" borderId="9" xfId="0" applyFont="1" applyFill="1" applyBorder="1" applyAlignment="1" applyProtection="1">
      <alignment horizontal="center" vertical="center"/>
      <protection hidden="1"/>
    </xf>
    <xf numFmtId="173" fontId="21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9" xfId="0" applyFont="1" applyFill="1" applyBorder="1" applyAlignment="1" applyProtection="1">
      <alignment horizontal="center" vertical="center"/>
      <protection hidden="1"/>
    </xf>
    <xf numFmtId="0" fontId="40" fillId="33" borderId="9" xfId="0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/>
      <protection hidden="1"/>
    </xf>
    <xf numFmtId="2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/>
      <protection hidden="1"/>
    </xf>
    <xf numFmtId="167" fontId="40" fillId="33" borderId="42" xfId="0" applyNumberFormat="1" applyFont="1" applyFill="1" applyBorder="1" applyAlignment="1" applyProtection="1">
      <alignment horizontal="center" vertical="center"/>
      <protection hidden="1"/>
    </xf>
    <xf numFmtId="170" fontId="40" fillId="33" borderId="42" xfId="0" applyNumberFormat="1" applyFont="1" applyFill="1" applyBorder="1" applyAlignment="1" applyProtection="1">
      <alignment horizontal="center" vertical="center"/>
      <protection hidden="1"/>
    </xf>
    <xf numFmtId="14" fontId="40" fillId="33" borderId="43" xfId="0" applyNumberFormat="1" applyFont="1" applyFill="1" applyBorder="1" applyAlignment="1" applyProtection="1">
      <alignment horizontal="center" vertical="center"/>
      <protection hidden="1"/>
    </xf>
    <xf numFmtId="0" fontId="40" fillId="33" borderId="46" xfId="0" applyFont="1" applyFill="1" applyBorder="1" applyAlignment="1" applyProtection="1">
      <alignment horizontal="center" vertical="center"/>
      <protection hidden="1"/>
    </xf>
    <xf numFmtId="167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/>
      <protection hidden="1"/>
    </xf>
    <xf numFmtId="14" fontId="40" fillId="33" borderId="39" xfId="0" applyNumberFormat="1" applyFont="1" applyFill="1" applyBorder="1" applyAlignment="1" applyProtection="1">
      <alignment horizontal="center" vertical="center"/>
      <protection hidden="1"/>
    </xf>
    <xf numFmtId="0" fontId="19" fillId="7" borderId="41" xfId="0" applyFont="1" applyFill="1" applyBorder="1" applyAlignment="1" applyProtection="1">
      <alignment horizontal="center" vertical="center"/>
      <protection hidden="1"/>
    </xf>
    <xf numFmtId="0" fontId="19" fillId="7" borderId="45" xfId="0" applyFont="1" applyFill="1" applyBorder="1" applyAlignment="1" applyProtection="1">
      <alignment horizontal="center" vertical="center"/>
      <protection hidden="1"/>
    </xf>
    <xf numFmtId="2" fontId="40" fillId="7" borderId="9" xfId="0" applyNumberFormat="1" applyFont="1" applyFill="1" applyBorder="1" applyAlignment="1" applyProtection="1">
      <alignment vertical="center"/>
      <protection hidden="1"/>
    </xf>
    <xf numFmtId="0" fontId="40" fillId="7" borderId="9" xfId="0" applyFont="1" applyFill="1" applyBorder="1" applyAlignment="1" applyProtection="1">
      <alignment vertical="center"/>
      <protection hidden="1"/>
    </xf>
    <xf numFmtId="0" fontId="40" fillId="7" borderId="11" xfId="0" applyFont="1" applyFill="1" applyBorder="1" applyAlignment="1" applyProtection="1">
      <alignment vertical="center"/>
      <protection hidden="1"/>
    </xf>
    <xf numFmtId="0" fontId="40" fillId="7" borderId="23" xfId="0" applyFont="1" applyFill="1" applyBorder="1" applyAlignment="1" applyProtection="1">
      <alignment vertical="center"/>
      <protection hidden="1"/>
    </xf>
    <xf numFmtId="0" fontId="40" fillId="7" borderId="36" xfId="0" applyFont="1" applyFill="1" applyBorder="1" applyAlignment="1" applyProtection="1">
      <alignment vertical="center" wrapText="1"/>
      <protection hidden="1"/>
    </xf>
    <xf numFmtId="0" fontId="40" fillId="7" borderId="45" xfId="0" applyFont="1" applyFill="1" applyBorder="1" applyAlignment="1" applyProtection="1">
      <alignment horizontal="center" vertical="center"/>
      <protection hidden="1"/>
    </xf>
    <xf numFmtId="2" fontId="40" fillId="7" borderId="46" xfId="0" applyNumberFormat="1" applyFont="1" applyFill="1" applyBorder="1" applyAlignment="1" applyProtection="1">
      <alignment vertical="center"/>
      <protection hidden="1"/>
    </xf>
    <xf numFmtId="0" fontId="40" fillId="7" borderId="46" xfId="0" applyFont="1" applyFill="1" applyBorder="1" applyAlignment="1" applyProtection="1">
      <alignment vertical="center"/>
      <protection hidden="1"/>
    </xf>
    <xf numFmtId="0" fontId="19" fillId="7" borderId="41" xfId="0" applyFont="1" applyFill="1" applyBorder="1" applyAlignment="1" applyProtection="1">
      <alignment horizontal="center" vertical="center" wrapText="1"/>
      <protection hidden="1"/>
    </xf>
    <xf numFmtId="2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2" xfId="0" applyFont="1" applyFill="1" applyBorder="1" applyAlignment="1" applyProtection="1">
      <alignment horizontal="center" vertical="center"/>
      <protection hidden="1"/>
    </xf>
    <xf numFmtId="165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43" xfId="0" applyFont="1" applyFill="1" applyBorder="1" applyAlignment="1" applyProtection="1">
      <alignment horizontal="center" vertical="center" wrapText="1"/>
      <protection hidden="1"/>
    </xf>
    <xf numFmtId="0" fontId="19" fillId="7" borderId="45" xfId="0" applyFont="1" applyFill="1" applyBorder="1" applyAlignment="1" applyProtection="1">
      <alignment horizontal="center" vertical="center" wrapText="1"/>
      <protection hidden="1"/>
    </xf>
    <xf numFmtId="14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55" xfId="0" applyFont="1" applyFill="1" applyBorder="1" applyAlignment="1" applyProtection="1">
      <alignment horizontal="center" vertical="center"/>
      <protection hidden="1"/>
    </xf>
    <xf numFmtId="165" fontId="40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39" xfId="0" applyFont="1" applyFill="1" applyBorder="1" applyAlignment="1" applyProtection="1">
      <alignment horizontal="center" vertical="center" wrapText="1"/>
      <protection hidden="1"/>
    </xf>
    <xf numFmtId="0" fontId="40" fillId="7" borderId="50" xfId="0" applyFont="1" applyFill="1" applyBorder="1" applyAlignment="1" applyProtection="1">
      <alignment horizontal="center" vertical="center"/>
      <protection hidden="1"/>
    </xf>
    <xf numFmtId="0" fontId="40" fillId="7" borderId="21" xfId="0" applyFont="1" applyFill="1" applyBorder="1" applyAlignment="1" applyProtection="1">
      <alignment horizontal="center" vertical="center"/>
      <protection hidden="1"/>
    </xf>
    <xf numFmtId="1" fontId="40" fillId="7" borderId="41" xfId="0" applyNumberFormat="1" applyFont="1" applyFill="1" applyBorder="1" applyAlignment="1" applyProtection="1">
      <alignment vertical="center" wrapText="1"/>
      <protection hidden="1"/>
    </xf>
    <xf numFmtId="166" fontId="40" fillId="7" borderId="42" xfId="0" applyNumberFormat="1" applyFont="1" applyFill="1" applyBorder="1" applyAlignment="1" applyProtection="1">
      <alignment horizontal="center" vertical="center"/>
      <protection hidden="1"/>
    </xf>
    <xf numFmtId="167" fontId="40" fillId="7" borderId="42" xfId="0" applyNumberFormat="1" applyFont="1" applyFill="1" applyBorder="1" applyAlignment="1" applyProtection="1">
      <alignment horizontal="center" vertical="center"/>
      <protection hidden="1"/>
    </xf>
    <xf numFmtId="170" fontId="40" fillId="7" borderId="42" xfId="0" applyNumberFormat="1" applyFont="1" applyFill="1" applyBorder="1" applyAlignment="1" applyProtection="1">
      <alignment horizontal="center" vertical="center"/>
      <protection hidden="1"/>
    </xf>
    <xf numFmtId="1" fontId="40" fillId="7" borderId="34" xfId="0" applyNumberFormat="1" applyFont="1" applyFill="1" applyBorder="1" applyAlignment="1" applyProtection="1">
      <alignment vertical="center" wrapText="1"/>
      <protection hidden="1"/>
    </xf>
    <xf numFmtId="166" fontId="40" fillId="7" borderId="9" xfId="0" applyNumberFormat="1" applyFont="1" applyFill="1" applyBorder="1" applyAlignment="1" applyProtection="1">
      <alignment horizontal="center" vertical="center"/>
      <protection hidden="1"/>
    </xf>
    <xf numFmtId="167" fontId="40" fillId="7" borderId="9" xfId="0" applyNumberFormat="1" applyFont="1" applyFill="1" applyBorder="1" applyAlignment="1" applyProtection="1">
      <alignment horizontal="center" vertical="center"/>
      <protection hidden="1"/>
    </xf>
    <xf numFmtId="170" fontId="40" fillId="7" borderId="9" xfId="0" applyNumberFormat="1" applyFont="1" applyFill="1" applyBorder="1" applyAlignment="1" applyProtection="1">
      <alignment horizontal="center" vertical="center"/>
      <protection hidden="1"/>
    </xf>
    <xf numFmtId="1" fontId="40" fillId="7" borderId="45" xfId="0" applyNumberFormat="1" applyFont="1" applyFill="1" applyBorder="1" applyAlignment="1" applyProtection="1">
      <alignment vertical="center" wrapText="1"/>
      <protection hidden="1"/>
    </xf>
    <xf numFmtId="0" fontId="40" fillId="7" borderId="46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Protection="1">
      <protection hidden="1"/>
    </xf>
    <xf numFmtId="165" fontId="40" fillId="7" borderId="41" xfId="0" applyNumberFormat="1" applyFont="1" applyFill="1" applyBorder="1" applyAlignment="1" applyProtection="1">
      <alignment horizontal="center" vertical="center"/>
      <protection hidden="1"/>
    </xf>
    <xf numFmtId="165" fontId="64" fillId="7" borderId="43" xfId="0" applyNumberFormat="1" applyFont="1" applyFill="1" applyBorder="1" applyAlignment="1" applyProtection="1">
      <alignment horizontal="center" vertical="center"/>
      <protection hidden="1"/>
    </xf>
    <xf numFmtId="165" fontId="40" fillId="7" borderId="34" xfId="0" applyNumberFormat="1" applyFont="1" applyFill="1" applyBorder="1" applyAlignment="1" applyProtection="1">
      <alignment horizontal="center" vertical="center"/>
      <protection hidden="1"/>
    </xf>
    <xf numFmtId="165" fontId="64" fillId="7" borderId="36" xfId="0" applyNumberFormat="1" applyFont="1" applyFill="1" applyBorder="1" applyAlignment="1" applyProtection="1">
      <alignment horizontal="center" vertical="center"/>
      <protection hidden="1"/>
    </xf>
    <xf numFmtId="165" fontId="40" fillId="7" borderId="45" xfId="0" applyNumberFormat="1" applyFont="1" applyFill="1" applyBorder="1" applyAlignment="1" applyProtection="1">
      <alignment horizontal="center" vertical="center"/>
      <protection hidden="1"/>
    </xf>
    <xf numFmtId="165" fontId="64" fillId="7" borderId="39" xfId="0" applyNumberFormat="1" applyFont="1" applyFill="1" applyBorder="1" applyAlignment="1" applyProtection="1">
      <alignment horizontal="center" vertical="center"/>
      <protection hidden="1"/>
    </xf>
    <xf numFmtId="166" fontId="64" fillId="7" borderId="43" xfId="0" applyNumberFormat="1" applyFont="1" applyFill="1" applyBorder="1" applyAlignment="1" applyProtection="1">
      <alignment horizontal="center" vertical="center"/>
      <protection hidden="1"/>
    </xf>
    <xf numFmtId="166" fontId="64" fillId="7" borderId="36" xfId="0" applyNumberFormat="1" applyFont="1" applyFill="1" applyBorder="1" applyAlignment="1" applyProtection="1">
      <alignment horizontal="center" vertical="center"/>
      <protection hidden="1"/>
    </xf>
    <xf numFmtId="166" fontId="64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41" xfId="0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wrapText="1"/>
      <protection hidden="1"/>
    </xf>
    <xf numFmtId="0" fontId="64" fillId="7" borderId="43" xfId="0" applyFont="1" applyFill="1" applyBorder="1" applyAlignment="1" applyProtection="1">
      <alignment horizontal="center" wrapText="1"/>
      <protection hidden="1"/>
    </xf>
    <xf numFmtId="0" fontId="64" fillId="7" borderId="9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 vertical="center" wrapText="1"/>
      <protection hidden="1"/>
    </xf>
    <xf numFmtId="167" fontId="64" fillId="7" borderId="9" xfId="0" applyNumberFormat="1" applyFont="1" applyFill="1" applyBorder="1" applyAlignment="1" applyProtection="1">
      <alignment horizontal="center" vertical="center"/>
      <protection hidden="1"/>
    </xf>
    <xf numFmtId="170" fontId="64" fillId="7" borderId="9" xfId="0" applyNumberFormat="1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6" xfId="0" applyNumberFormat="1" applyFont="1" applyFill="1" applyBorder="1" applyAlignment="1" applyProtection="1">
      <alignment horizontal="center" vertical="center"/>
      <protection hidden="1"/>
    </xf>
    <xf numFmtId="170" fontId="64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/>
      <protection hidden="1"/>
    </xf>
    <xf numFmtId="2" fontId="40" fillId="7" borderId="42" xfId="0" applyNumberFormat="1" applyFont="1" applyFill="1" applyBorder="1" applyAlignment="1" applyProtection="1">
      <alignment horizontal="center" vertical="center"/>
      <protection hidden="1"/>
    </xf>
    <xf numFmtId="0" fontId="40" fillId="7" borderId="14" xfId="0" applyFont="1" applyFill="1" applyBorder="1" applyAlignment="1" applyProtection="1">
      <alignment horizontal="center" vertical="center"/>
      <protection hidden="1"/>
    </xf>
    <xf numFmtId="0" fontId="64" fillId="7" borderId="9" xfId="0" applyFont="1" applyFill="1" applyBorder="1" applyAlignment="1" applyProtection="1">
      <alignment horizontal="center"/>
      <protection hidden="1"/>
    </xf>
    <xf numFmtId="0" fontId="64" fillId="7" borderId="9" xfId="0" applyFont="1" applyFill="1" applyBorder="1" applyAlignment="1" applyProtection="1">
      <alignment horizontal="center" wrapText="1"/>
      <protection hidden="1"/>
    </xf>
    <xf numFmtId="0" fontId="40" fillId="7" borderId="59" xfId="0" applyFont="1" applyFill="1" applyBorder="1" applyAlignment="1" applyProtection="1">
      <alignment horizontal="center" vertical="center"/>
      <protection hidden="1"/>
    </xf>
    <xf numFmtId="0" fontId="64" fillId="7" borderId="46" xfId="0" applyFont="1" applyFill="1" applyBorder="1" applyAlignment="1" applyProtection="1">
      <alignment horizontal="center"/>
      <protection hidden="1"/>
    </xf>
    <xf numFmtId="167" fontId="40" fillId="7" borderId="46" xfId="0" applyNumberFormat="1" applyFont="1" applyFill="1" applyBorder="1" applyAlignment="1" applyProtection="1">
      <alignment horizontal="center" vertical="center"/>
      <protection hidden="1"/>
    </xf>
    <xf numFmtId="170" fontId="40" fillId="7" borderId="46" xfId="0" applyNumberFormat="1" applyFont="1" applyFill="1" applyBorder="1" applyAlignment="1" applyProtection="1">
      <alignment horizontal="center" vertical="center"/>
      <protection hidden="1"/>
    </xf>
    <xf numFmtId="0" fontId="64" fillId="7" borderId="22" xfId="0" applyFont="1" applyFill="1" applyBorder="1" applyAlignment="1" applyProtection="1">
      <alignment vertical="center"/>
      <protection hidden="1"/>
    </xf>
    <xf numFmtId="0" fontId="40" fillId="7" borderId="22" xfId="0" applyFont="1" applyFill="1" applyBorder="1" applyAlignment="1" applyProtection="1">
      <alignment horizontal="center" vertical="center" wrapText="1"/>
      <protection hidden="1"/>
    </xf>
    <xf numFmtId="0" fontId="40" fillId="7" borderId="22" xfId="0" applyFont="1" applyFill="1" applyBorder="1" applyAlignment="1" applyProtection="1">
      <alignment horizontal="center" vertical="center"/>
      <protection hidden="1"/>
    </xf>
    <xf numFmtId="170" fontId="40" fillId="7" borderId="29" xfId="0" applyNumberFormat="1" applyFont="1" applyFill="1" applyBorder="1" applyAlignment="1" applyProtection="1">
      <alignment horizontal="center" vertical="center"/>
      <protection hidden="1"/>
    </xf>
    <xf numFmtId="14" fontId="40" fillId="7" borderId="43" xfId="0" applyNumberFormat="1" applyFont="1" applyFill="1" applyBorder="1" applyAlignment="1" applyProtection="1">
      <alignment horizontal="center" vertical="center"/>
      <protection hidden="1"/>
    </xf>
    <xf numFmtId="14" fontId="40" fillId="7" borderId="36" xfId="0" applyNumberFormat="1" applyFont="1" applyFill="1" applyBorder="1" applyAlignment="1" applyProtection="1">
      <alignment horizontal="center" vertical="center"/>
      <protection hidden="1"/>
    </xf>
    <xf numFmtId="14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17" fillId="7" borderId="46" xfId="0" applyFont="1" applyFill="1" applyBorder="1" applyAlignment="1" applyProtection="1">
      <alignment horizontal="center" vertical="center"/>
      <protection hidden="1"/>
    </xf>
    <xf numFmtId="0" fontId="19" fillId="7" borderId="46" xfId="0" applyFont="1" applyFill="1" applyBorder="1" applyAlignment="1" applyProtection="1">
      <alignment horizontal="center" vertical="center" wrapText="1"/>
      <protection hidden="1"/>
    </xf>
    <xf numFmtId="167" fontId="64" fillId="7" borderId="41" xfId="0" applyNumberFormat="1" applyFont="1" applyFill="1" applyBorder="1" applyAlignment="1" applyProtection="1">
      <alignment horizontal="center" vertical="center"/>
      <protection hidden="1"/>
    </xf>
    <xf numFmtId="0" fontId="64" fillId="7" borderId="42" xfId="0" applyFont="1" applyFill="1" applyBorder="1" applyAlignment="1" applyProtection="1">
      <alignment horizontal="center" vertical="center"/>
      <protection hidden="1"/>
    </xf>
    <xf numFmtId="0" fontId="64" fillId="7" borderId="43" xfId="0" applyFont="1" applyFill="1" applyBorder="1" applyAlignment="1" applyProtection="1">
      <alignment horizontal="center" vertical="center"/>
      <protection hidden="1"/>
    </xf>
    <xf numFmtId="0" fontId="64" fillId="7" borderId="34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vertical="center"/>
      <protection hidden="1"/>
    </xf>
    <xf numFmtId="0" fontId="64" fillId="7" borderId="45" xfId="0" applyFont="1" applyFill="1" applyBorder="1" applyAlignment="1" applyProtection="1">
      <alignment horizontal="center" vertical="center"/>
      <protection hidden="1"/>
    </xf>
    <xf numFmtId="0" fontId="64" fillId="7" borderId="39" xfId="0" applyFont="1" applyFill="1" applyBorder="1" applyAlignment="1" applyProtection="1">
      <alignment horizontal="center" vertical="center"/>
      <protection hidden="1"/>
    </xf>
    <xf numFmtId="0" fontId="40" fillId="7" borderId="36" xfId="0" applyFont="1" applyFill="1" applyBorder="1" applyAlignment="1" applyProtection="1">
      <alignment horizontal="center" vertical="center"/>
      <protection hidden="1"/>
    </xf>
    <xf numFmtId="2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39" xfId="0" applyFont="1" applyFill="1" applyBorder="1" applyAlignment="1" applyProtection="1">
      <alignment horizontal="center" vertical="center"/>
      <protection hidden="1"/>
    </xf>
    <xf numFmtId="0" fontId="64" fillId="7" borderId="36" xfId="0" applyFont="1" applyFill="1" applyBorder="1" applyAlignment="1" applyProtection="1">
      <alignment horizontal="center" wrapText="1"/>
      <protection hidden="1"/>
    </xf>
    <xf numFmtId="2" fontId="40" fillId="7" borderId="9" xfId="0" applyNumberFormat="1" applyFont="1" applyFill="1" applyBorder="1" applyAlignment="1" applyProtection="1">
      <alignment horizontal="center" vertical="center"/>
      <protection hidden="1"/>
    </xf>
    <xf numFmtId="0" fontId="40" fillId="7" borderId="39" xfId="0" applyFont="1" applyFill="1" applyBorder="1" applyAlignment="1" applyProtection="1">
      <alignment horizontal="center" vertical="center"/>
      <protection hidden="1"/>
    </xf>
    <xf numFmtId="0" fontId="40" fillId="18" borderId="34" xfId="0" applyFont="1" applyFill="1" applyBorder="1" applyAlignment="1" applyProtection="1">
      <alignment horizontal="center" vertical="center"/>
      <protection hidden="1"/>
    </xf>
    <xf numFmtId="0" fontId="40" fillId="18" borderId="45" xfId="0" applyFont="1" applyFill="1" applyBorder="1" applyAlignment="1" applyProtection="1">
      <alignment horizontal="center" vertical="center"/>
      <protection hidden="1"/>
    </xf>
    <xf numFmtId="166" fontId="40" fillId="7" borderId="36" xfId="0" applyNumberFormat="1" applyFont="1" applyFill="1" applyBorder="1" applyAlignment="1" applyProtection="1">
      <alignment horizontal="center" vertical="center"/>
      <protection hidden="1"/>
    </xf>
    <xf numFmtId="2" fontId="40" fillId="7" borderId="39" xfId="0" applyNumberFormat="1" applyFont="1" applyFill="1" applyBorder="1" applyAlignment="1" applyProtection="1">
      <alignment horizontal="center" vertical="center"/>
      <protection hidden="1"/>
    </xf>
    <xf numFmtId="0" fontId="40" fillId="7" borderId="32" xfId="0" applyFont="1" applyFill="1" applyBorder="1" applyAlignment="1" applyProtection="1">
      <alignment horizontal="center" vertical="center" wrapText="1"/>
      <protection hidden="1"/>
    </xf>
    <xf numFmtId="0" fontId="40" fillId="7" borderId="36" xfId="0" applyFont="1" applyFill="1" applyBorder="1" applyAlignment="1" applyProtection="1">
      <alignment horizontal="center" vertical="center" wrapText="1"/>
      <protection hidden="1"/>
    </xf>
    <xf numFmtId="0" fontId="40" fillId="18" borderId="41" xfId="0" applyFont="1" applyFill="1" applyBorder="1" applyAlignment="1" applyProtection="1">
      <alignment horizontal="center" vertical="center"/>
      <protection hidden="1"/>
    </xf>
    <xf numFmtId="0" fontId="40" fillId="18" borderId="42" xfId="0" applyFont="1" applyFill="1" applyBorder="1" applyAlignment="1" applyProtection="1">
      <alignment horizontal="center" vertical="center" wrapText="1"/>
      <protection hidden="1"/>
    </xf>
    <xf numFmtId="0" fontId="40" fillId="18" borderId="42" xfId="0" applyFont="1" applyFill="1" applyBorder="1" applyAlignment="1" applyProtection="1">
      <alignment horizontal="center" vertical="center"/>
      <protection hidden="1"/>
    </xf>
    <xf numFmtId="0" fontId="40" fillId="18" borderId="43" xfId="0" applyFont="1" applyFill="1" applyBorder="1" applyAlignment="1" applyProtection="1">
      <alignment horizontal="center" vertical="center"/>
      <protection hidden="1"/>
    </xf>
    <xf numFmtId="0" fontId="64" fillId="7" borderId="4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40" fillId="33" borderId="41" xfId="0" applyFont="1" applyFill="1" applyBorder="1" applyAlignment="1" applyProtection="1">
      <alignment horizontal="center" vertical="center"/>
      <protection hidden="1"/>
    </xf>
    <xf numFmtId="0" fontId="40" fillId="33" borderId="34" xfId="0" applyFont="1" applyFill="1" applyBorder="1" applyAlignment="1" applyProtection="1">
      <alignment horizontal="center" vertical="center"/>
      <protection hidden="1"/>
    </xf>
    <xf numFmtId="0" fontId="40" fillId="33" borderId="55" xfId="0" applyFont="1" applyFill="1" applyBorder="1" applyAlignment="1" applyProtection="1">
      <alignment horizontal="center" vertical="center"/>
      <protection hidden="1"/>
    </xf>
    <xf numFmtId="0" fontId="40" fillId="33" borderId="43" xfId="0" applyFont="1" applyFill="1" applyBorder="1" applyAlignment="1" applyProtection="1">
      <alignment horizontal="center" vertical="center"/>
      <protection hidden="1"/>
    </xf>
    <xf numFmtId="167" fontId="40" fillId="33" borderId="9" xfId="0" applyNumberFormat="1" applyFont="1" applyFill="1" applyBorder="1" applyAlignment="1" applyProtection="1">
      <alignment horizontal="center" vertical="center"/>
      <protection hidden="1"/>
    </xf>
    <xf numFmtId="0" fontId="40" fillId="33" borderId="45" xfId="0" applyFont="1" applyFill="1" applyBorder="1" applyAlignment="1" applyProtection="1">
      <alignment horizontal="center" vertical="center"/>
      <protection hidden="1"/>
    </xf>
    <xf numFmtId="2" fontId="40" fillId="33" borderId="46" xfId="0" applyNumberFormat="1" applyFont="1" applyFill="1" applyBorder="1" applyAlignment="1" applyProtection="1">
      <alignment horizontal="center" vertical="center"/>
      <protection hidden="1"/>
    </xf>
    <xf numFmtId="167" fontId="40" fillId="33" borderId="41" xfId="0" applyNumberFormat="1" applyFont="1" applyFill="1" applyBorder="1" applyAlignment="1" applyProtection="1">
      <alignment horizontal="center" vertical="center"/>
      <protection hidden="1"/>
    </xf>
    <xf numFmtId="167" fontId="40" fillId="33" borderId="43" xfId="0" applyNumberFormat="1" applyFont="1" applyFill="1" applyBorder="1" applyAlignment="1" applyProtection="1">
      <alignment horizontal="center" vertical="center"/>
      <protection hidden="1"/>
    </xf>
    <xf numFmtId="167" fontId="40" fillId="33" borderId="36" xfId="0" applyNumberFormat="1" applyFont="1" applyFill="1" applyBorder="1" applyAlignment="1" applyProtection="1">
      <alignment horizontal="center" vertical="center"/>
      <protection hidden="1"/>
    </xf>
    <xf numFmtId="0" fontId="40" fillId="33" borderId="22" xfId="0" applyFont="1" applyFill="1" applyBorder="1" applyAlignment="1" applyProtection="1">
      <alignment horizontal="center" vertical="center"/>
      <protection hidden="1"/>
    </xf>
    <xf numFmtId="3" fontId="40" fillId="33" borderId="41" xfId="0" applyNumberFormat="1" applyFont="1" applyFill="1" applyBorder="1" applyAlignment="1" applyProtection="1">
      <alignment horizontal="center" vertical="center"/>
      <protection hidden="1"/>
    </xf>
    <xf numFmtId="3" fontId="40" fillId="33" borderId="42" xfId="0" applyNumberFormat="1" applyFont="1" applyFill="1" applyBorder="1" applyAlignment="1" applyProtection="1">
      <alignment horizontal="center" vertical="center"/>
      <protection hidden="1"/>
    </xf>
    <xf numFmtId="0" fontId="40" fillId="33" borderId="42" xfId="0" applyFont="1" applyFill="1" applyBorder="1" applyAlignment="1" applyProtection="1">
      <alignment horizontal="center" vertical="center" wrapText="1"/>
      <protection hidden="1"/>
    </xf>
    <xf numFmtId="165" fontId="40" fillId="33" borderId="42" xfId="0" applyNumberFormat="1" applyFont="1" applyFill="1" applyBorder="1" applyAlignment="1" applyProtection="1">
      <alignment horizontal="center" vertical="center"/>
      <protection hidden="1"/>
    </xf>
    <xf numFmtId="165" fontId="40" fillId="33" borderId="43" xfId="0" applyNumberFormat="1" applyFont="1" applyFill="1" applyBorder="1" applyAlignment="1" applyProtection="1">
      <alignment horizontal="center" vertical="center"/>
      <protection hidden="1"/>
    </xf>
    <xf numFmtId="3" fontId="40" fillId="33" borderId="34" xfId="0" applyNumberFormat="1" applyFont="1" applyFill="1" applyBorder="1" applyAlignment="1" applyProtection="1">
      <alignment horizontal="center" vertical="center"/>
      <protection hidden="1"/>
    </xf>
    <xf numFmtId="3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18" xfId="0" applyNumberFormat="1" applyFont="1" applyFill="1" applyBorder="1" applyAlignment="1" applyProtection="1">
      <alignment horizontal="center" vertical="center"/>
      <protection hidden="1"/>
    </xf>
    <xf numFmtId="165" fontId="40" fillId="33" borderId="38" xfId="0" applyNumberFormat="1" applyFont="1" applyFill="1" applyBorder="1" applyAlignment="1" applyProtection="1">
      <alignment horizontal="center" vertical="center"/>
      <protection hidden="1"/>
    </xf>
    <xf numFmtId="3" fontId="40" fillId="33" borderId="45" xfId="0" applyNumberFormat="1" applyFont="1" applyFill="1" applyBorder="1" applyAlignment="1" applyProtection="1">
      <alignment horizontal="center" vertical="center"/>
      <protection hidden="1"/>
    </xf>
    <xf numFmtId="3" fontId="40" fillId="33" borderId="46" xfId="0" applyNumberFormat="1" applyFont="1" applyFill="1" applyBorder="1" applyAlignment="1" applyProtection="1">
      <alignment horizontal="center" vertical="center"/>
      <protection hidden="1"/>
    </xf>
    <xf numFmtId="170" fontId="40" fillId="33" borderId="46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6" xfId="0" applyFont="1" applyFill="1" applyBorder="1" applyAlignment="1" applyProtection="1">
      <alignment horizontal="center" vertical="center" wrapText="1"/>
      <protection hidden="1"/>
    </xf>
    <xf numFmtId="165" fontId="40" fillId="33" borderId="55" xfId="0" applyNumberFormat="1" applyFont="1" applyFill="1" applyBorder="1" applyAlignment="1" applyProtection="1">
      <alignment horizontal="center" vertical="center"/>
      <protection hidden="1"/>
    </xf>
    <xf numFmtId="165" fontId="40" fillId="33" borderId="80" xfId="0" applyNumberFormat="1" applyFont="1" applyFill="1" applyBorder="1" applyAlignment="1" applyProtection="1">
      <alignment horizontal="center" vertical="center"/>
      <protection hidden="1"/>
    </xf>
    <xf numFmtId="0" fontId="64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42" xfId="0" applyFill="1" applyBorder="1" applyAlignment="1" applyProtection="1">
      <alignment horizontal="center" vertical="center" wrapText="1"/>
      <protection hidden="1"/>
    </xf>
    <xf numFmtId="167" fontId="64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vertical="center" wrapText="1"/>
      <protection hidden="1"/>
    </xf>
    <xf numFmtId="0" fontId="64" fillId="31" borderId="1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/>
      <protection locked="0" hidden="1"/>
    </xf>
    <xf numFmtId="0" fontId="40" fillId="33" borderId="9" xfId="0" applyFont="1" applyFill="1" applyBorder="1" applyAlignment="1" applyProtection="1">
      <alignment horizontal="center" vertical="center" wrapText="1"/>
      <protection locked="0" hidden="1"/>
    </xf>
    <xf numFmtId="0" fontId="40" fillId="33" borderId="36" xfId="0" applyFont="1" applyFill="1" applyBorder="1" applyAlignment="1" applyProtection="1">
      <alignment horizontal="center" vertical="center"/>
      <protection locked="0" hidden="1"/>
    </xf>
    <xf numFmtId="0" fontId="21" fillId="33" borderId="9" xfId="0" applyFont="1" applyFill="1" applyBorder="1" applyAlignment="1" applyProtection="1">
      <alignment horizontal="center" vertical="center" wrapText="1"/>
      <protection locked="0" hidden="1"/>
    </xf>
    <xf numFmtId="14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21" fillId="3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40" fillId="33" borderId="70" xfId="0" applyFont="1" applyFill="1" applyBorder="1" applyAlignment="1" applyProtection="1">
      <alignment horizontal="center" vertical="center"/>
      <protection locked="0" hidden="1"/>
    </xf>
    <xf numFmtId="0" fontId="40" fillId="33" borderId="68" xfId="0" applyFont="1" applyFill="1" applyBorder="1" applyAlignment="1" applyProtection="1">
      <alignment horizontal="center" vertical="center"/>
      <protection locked="0" hidden="1"/>
    </xf>
    <xf numFmtId="0" fontId="40" fillId="33" borderId="71" xfId="0" applyFont="1" applyFill="1" applyBorder="1" applyAlignment="1" applyProtection="1">
      <alignment horizontal="center" vertical="center"/>
      <protection locked="0" hidden="1"/>
    </xf>
    <xf numFmtId="14" fontId="64" fillId="7" borderId="36" xfId="0" applyNumberFormat="1" applyFont="1" applyFill="1" applyBorder="1" applyAlignment="1" applyProtection="1">
      <alignment horizontal="center" vertical="center" wrapText="1"/>
      <protection hidden="1"/>
    </xf>
    <xf numFmtId="14" fontId="64" fillId="7" borderId="39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43" xfId="0" applyNumberFormat="1" applyFont="1" applyFill="1" applyBorder="1" applyAlignment="1" applyProtection="1">
      <alignment horizontal="center" vertical="center" wrapText="1"/>
      <protection hidden="1"/>
    </xf>
    <xf numFmtId="14" fontId="40" fillId="7" borderId="1" xfId="0" applyNumberFormat="1" applyFont="1" applyFill="1" applyBorder="1" applyAlignment="1" applyProtection="1">
      <alignment vertical="center" wrapText="1"/>
      <protection hidden="1"/>
    </xf>
    <xf numFmtId="167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166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70" fontId="19" fillId="7" borderId="46" xfId="0" applyNumberFormat="1" applyFont="1" applyFill="1" applyBorder="1" applyAlignment="1" applyProtection="1">
      <alignment horizontal="center" vertical="center" wrapText="1"/>
      <protection hidden="1"/>
    </xf>
    <xf numFmtId="14" fontId="19" fillId="7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17" borderId="19" xfId="0" applyFont="1" applyFill="1" applyBorder="1" applyAlignment="1" applyProtection="1">
      <alignment horizontal="center" vertical="center" wrapText="1"/>
      <protection hidden="1"/>
    </xf>
    <xf numFmtId="0" fontId="16" fillId="17" borderId="22" xfId="0" applyFont="1" applyFill="1" applyBorder="1" applyAlignment="1" applyProtection="1">
      <alignment horizontal="center" vertical="center"/>
      <protection hidden="1"/>
    </xf>
    <xf numFmtId="0" fontId="16" fillId="17" borderId="22" xfId="0" applyFont="1" applyFill="1" applyBorder="1" applyAlignment="1" applyProtection="1">
      <alignment horizontal="center" vertical="center" wrapText="1"/>
      <protection hidden="1"/>
    </xf>
    <xf numFmtId="0" fontId="16" fillId="17" borderId="20" xfId="0" applyFont="1" applyFill="1" applyBorder="1" applyAlignment="1" applyProtection="1">
      <alignment horizontal="center" vertical="center" wrapText="1"/>
      <protection hidden="1"/>
    </xf>
    <xf numFmtId="166" fontId="76" fillId="20" borderId="36" xfId="0" applyNumberFormat="1" applyFont="1" applyFill="1" applyBorder="1" applyAlignment="1" applyProtection="1">
      <alignment horizontal="center" vertical="center"/>
      <protection hidden="1"/>
    </xf>
    <xf numFmtId="166" fontId="76" fillId="20" borderId="39" xfId="0" applyNumberFormat="1" applyFont="1" applyFill="1" applyBorder="1" applyAlignment="1" applyProtection="1">
      <alignment horizontal="center" vertical="center"/>
      <protection hidden="1"/>
    </xf>
    <xf numFmtId="0" fontId="62" fillId="7" borderId="19" xfId="0" applyFont="1" applyFill="1" applyBorder="1" applyAlignment="1" applyProtection="1">
      <alignment horizontal="center" vertical="center" wrapText="1"/>
      <protection hidden="1"/>
    </xf>
    <xf numFmtId="0" fontId="62" fillId="7" borderId="20" xfId="0" applyFont="1" applyFill="1" applyBorder="1" applyAlignment="1" applyProtection="1">
      <alignment horizontal="center" vertical="center" wrapText="1"/>
      <protection hidden="1"/>
    </xf>
    <xf numFmtId="0" fontId="26" fillId="33" borderId="32" xfId="0" applyFont="1" applyFill="1" applyBorder="1" applyAlignment="1" applyProtection="1">
      <alignment horizontal="center" vertical="center" wrapText="1"/>
      <protection hidden="1"/>
    </xf>
    <xf numFmtId="0" fontId="26" fillId="33" borderId="38" xfId="0" applyFont="1" applyFill="1" applyBorder="1" applyAlignment="1" applyProtection="1">
      <alignment horizontal="center" vertical="center" wrapText="1"/>
      <protection hidden="1"/>
    </xf>
    <xf numFmtId="0" fontId="7" fillId="33" borderId="45" xfId="0" applyFont="1" applyFill="1" applyBorder="1" applyAlignment="1" applyProtection="1">
      <alignment horizontal="center" vertical="center" wrapText="1"/>
      <protection hidden="1"/>
    </xf>
    <xf numFmtId="166" fontId="76" fillId="20" borderId="38" xfId="0" applyNumberFormat="1" applyFont="1" applyFill="1" applyBorder="1" applyAlignment="1" applyProtection="1">
      <alignment horizontal="center" vertical="center"/>
      <protection hidden="1"/>
    </xf>
    <xf numFmtId="0" fontId="21" fillId="12" borderId="9" xfId="0" applyFont="1" applyFill="1" applyBorder="1" applyAlignment="1" applyProtection="1">
      <alignment horizontal="center" vertical="center" wrapText="1"/>
      <protection hidden="1"/>
    </xf>
    <xf numFmtId="0" fontId="7" fillId="16" borderId="44" xfId="0" applyFont="1" applyFill="1" applyBorder="1" applyAlignment="1" applyProtection="1">
      <alignment horizontal="center" vertical="center" wrapText="1"/>
      <protection hidden="1"/>
    </xf>
    <xf numFmtId="1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8" xfId="0" applyFont="1" applyFill="1" applyBorder="1" applyAlignment="1" applyProtection="1">
      <alignment horizontal="center" vertical="center" wrapText="1"/>
      <protection hidden="1"/>
    </xf>
    <xf numFmtId="0" fontId="7" fillId="16" borderId="42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38" fillId="2" borderId="11" xfId="0" applyFont="1" applyFill="1" applyBorder="1" applyAlignment="1" applyProtection="1">
      <alignment horizontal="center" vertical="center" wrapText="1"/>
      <protection hidden="1"/>
    </xf>
    <xf numFmtId="0" fontId="38" fillId="2" borderId="23" xfId="0" applyFont="1" applyFill="1" applyBorder="1" applyAlignment="1" applyProtection="1">
      <alignment horizontal="center" vertical="center" wrapText="1"/>
      <protection hidden="1"/>
    </xf>
    <xf numFmtId="0" fontId="38" fillId="2" borderId="35" xfId="0" applyFont="1" applyFill="1" applyBorder="1" applyAlignment="1" applyProtection="1">
      <alignment horizontal="center" vertical="center" wrapText="1"/>
      <protection hidden="1"/>
    </xf>
    <xf numFmtId="170" fontId="40" fillId="7" borderId="43" xfId="0" applyNumberFormat="1" applyFont="1" applyFill="1" applyBorder="1" applyAlignment="1" applyProtection="1">
      <alignment horizontal="center" vertical="center"/>
      <protection hidden="1"/>
    </xf>
    <xf numFmtId="170" fontId="40" fillId="7" borderId="36" xfId="0" applyNumberFormat="1" applyFont="1" applyFill="1" applyBorder="1" applyAlignment="1" applyProtection="1">
      <alignment horizontal="center" vertical="center"/>
      <protection hidden="1"/>
    </xf>
    <xf numFmtId="170" fontId="40" fillId="7" borderId="39" xfId="0" applyNumberFormat="1" applyFont="1" applyFill="1" applyBorder="1" applyAlignment="1" applyProtection="1">
      <alignment horizontal="center" vertical="center"/>
      <protection hidden="1"/>
    </xf>
    <xf numFmtId="166" fontId="2" fillId="7" borderId="18" xfId="0" applyNumberFormat="1" applyFont="1" applyFill="1" applyBorder="1" applyAlignment="1" applyProtection="1">
      <alignment horizontal="center" vertical="center" wrapText="1"/>
      <protection hidden="1"/>
    </xf>
    <xf numFmtId="166" fontId="63" fillId="7" borderId="28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11" xfId="0" applyNumberFormat="1" applyFont="1" applyFill="1" applyBorder="1" applyAlignment="1" applyProtection="1">
      <alignment horizontal="center" vertical="center"/>
      <protection hidden="1"/>
    </xf>
    <xf numFmtId="166" fontId="2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39" xfId="0" applyNumberFormat="1" applyFont="1" applyFill="1" applyBorder="1" applyAlignment="1" applyProtection="1">
      <alignment horizontal="center" vertical="center"/>
      <protection hidden="1"/>
    </xf>
    <xf numFmtId="166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166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46" xfId="0" applyNumberFormat="1" applyFont="1" applyFill="1" applyBorder="1" applyAlignment="1" applyProtection="1">
      <alignment horizontal="center" vertical="center" wrapText="1"/>
      <protection hidden="1"/>
    </xf>
    <xf numFmtId="2" fontId="21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40" fillId="7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41" xfId="0" applyFont="1" applyFill="1" applyBorder="1" applyAlignment="1" applyProtection="1">
      <alignment horizontal="center" vertical="center" wrapText="1"/>
      <protection hidden="1"/>
    </xf>
    <xf numFmtId="0" fontId="4" fillId="16" borderId="6" xfId="0" applyFont="1" applyFill="1" applyBorder="1" applyAlignment="1" applyProtection="1">
      <alignment horizontal="center" vertical="center" wrapText="1"/>
      <protection hidden="1"/>
    </xf>
    <xf numFmtId="167" fontId="2" fillId="19" borderId="9" xfId="0" applyNumberFormat="1" applyFont="1" applyFill="1" applyBorder="1" applyAlignment="1" applyProtection="1">
      <alignment horizontal="center" vertical="center" wrapText="1"/>
      <protection hidden="1"/>
    </xf>
    <xf numFmtId="167" fontId="73" fillId="19" borderId="36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68" xfId="0" applyFont="1" applyFill="1" applyBorder="1" applyAlignment="1" applyProtection="1">
      <alignment horizontal="center" vertical="center" wrapText="1"/>
      <protection hidden="1"/>
    </xf>
    <xf numFmtId="0" fontId="15" fillId="5" borderId="68" xfId="0" applyFont="1" applyFill="1" applyBorder="1" applyAlignment="1" applyProtection="1">
      <alignment horizontal="center" vertical="center" wrapText="1"/>
      <protection hidden="1"/>
    </xf>
    <xf numFmtId="0" fontId="48" fillId="5" borderId="31" xfId="0" applyFont="1" applyFill="1" applyBorder="1" applyAlignment="1" applyProtection="1">
      <alignment horizontal="center" vertical="center" wrapText="1"/>
      <protection hidden="1"/>
    </xf>
    <xf numFmtId="0" fontId="48" fillId="5" borderId="69" xfId="0" applyFont="1" applyFill="1" applyBorder="1" applyAlignment="1" applyProtection="1">
      <alignment horizontal="center" vertical="center" wrapText="1"/>
      <protection hidden="1"/>
    </xf>
    <xf numFmtId="165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5" borderId="75" xfId="0" applyFont="1" applyFill="1" applyBorder="1" applyAlignment="1" applyProtection="1">
      <alignment horizontal="center" vertical="center" wrapText="1"/>
      <protection hidden="1"/>
    </xf>
    <xf numFmtId="0" fontId="7" fillId="2" borderId="73" xfId="0" applyFont="1" applyFill="1" applyBorder="1" applyAlignment="1" applyProtection="1">
      <alignment horizontal="center" vertical="center" wrapText="1"/>
      <protection hidden="1"/>
    </xf>
    <xf numFmtId="169" fontId="5" fillId="7" borderId="36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3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11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50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14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1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23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3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64" xfId="0" applyNumberFormat="1" applyFont="1" applyFill="1" applyBorder="1" applyAlignment="1" applyProtection="1">
      <alignment horizontal="center" vertical="center" wrapText="1"/>
      <protection hidden="1"/>
    </xf>
    <xf numFmtId="164" fontId="5" fillId="7" borderId="57" xfId="0" applyNumberFormat="1" applyFont="1" applyFill="1" applyBorder="1" applyAlignment="1" applyProtection="1">
      <alignment horizontal="center" vertical="center" wrapText="1"/>
      <protection hidden="1"/>
    </xf>
    <xf numFmtId="0" fontId="64" fillId="7" borderId="44" xfId="0" applyFont="1" applyFill="1" applyBorder="1" applyAlignment="1" applyProtection="1">
      <alignment horizontal="center" vertical="center"/>
      <protection hidden="1"/>
    </xf>
    <xf numFmtId="0" fontId="64" fillId="7" borderId="12" xfId="0" applyFont="1" applyFill="1" applyBorder="1" applyAlignment="1" applyProtection="1">
      <alignment horizontal="center" vertical="center"/>
      <protection hidden="1"/>
    </xf>
    <xf numFmtId="0" fontId="64" fillId="7" borderId="62" xfId="0" applyFont="1" applyFill="1" applyBorder="1" applyAlignment="1" applyProtection="1">
      <alignment horizontal="center" vertical="center"/>
      <protection hidden="1"/>
    </xf>
    <xf numFmtId="0" fontId="19" fillId="18" borderId="19" xfId="0" applyFont="1" applyFill="1" applyBorder="1" applyAlignment="1" applyProtection="1">
      <alignment horizontal="center" vertical="center"/>
      <protection hidden="1"/>
    </xf>
    <xf numFmtId="0" fontId="19" fillId="18" borderId="22" xfId="0" applyFont="1" applyFill="1" applyBorder="1" applyAlignment="1" applyProtection="1">
      <alignment horizontal="center" vertical="center"/>
      <protection hidden="1"/>
    </xf>
    <xf numFmtId="0" fontId="40" fillId="2" borderId="15" xfId="0" applyFont="1" applyFill="1" applyBorder="1" applyAlignment="1" applyProtection="1">
      <protection hidden="1"/>
    </xf>
    <xf numFmtId="0" fontId="40" fillId="2" borderId="15" xfId="0" applyFont="1" applyFill="1" applyBorder="1" applyAlignment="1" applyProtection="1">
      <alignment vertical="center"/>
      <protection hidden="1"/>
    </xf>
    <xf numFmtId="0" fontId="64" fillId="0" borderId="67" xfId="0" applyFont="1" applyBorder="1" applyAlignment="1" applyProtection="1">
      <alignment horizontal="center" vertical="center"/>
      <protection hidden="1"/>
    </xf>
    <xf numFmtId="0" fontId="40" fillId="2" borderId="47" xfId="0" applyFont="1" applyFill="1" applyBorder="1" applyAlignment="1" applyProtection="1">
      <alignment horizontal="center" vertical="center"/>
      <protection hidden="1"/>
    </xf>
    <xf numFmtId="2" fontId="40" fillId="2" borderId="55" xfId="0" applyNumberFormat="1" applyFont="1" applyFill="1" applyBorder="1" applyAlignment="1" applyProtection="1">
      <alignment vertical="center"/>
      <protection hidden="1"/>
    </xf>
    <xf numFmtId="0" fontId="40" fillId="2" borderId="55" xfId="0" applyFont="1" applyFill="1" applyBorder="1" applyAlignment="1" applyProtection="1">
      <alignment vertical="center"/>
      <protection hidden="1"/>
    </xf>
    <xf numFmtId="0" fontId="64" fillId="0" borderId="80" xfId="0" applyFont="1" applyBorder="1" applyAlignment="1" applyProtection="1">
      <alignment horizontal="center" vertical="center"/>
      <protection hidden="1"/>
    </xf>
    <xf numFmtId="0" fontId="40" fillId="7" borderId="19" xfId="0" applyFont="1" applyFill="1" applyBorder="1" applyAlignment="1" applyProtection="1">
      <alignment horizontal="center" vertical="center"/>
      <protection hidden="1"/>
    </xf>
    <xf numFmtId="167" fontId="40" fillId="7" borderId="22" xfId="0" applyNumberFormat="1" applyFont="1" applyFill="1" applyBorder="1" applyAlignment="1" applyProtection="1">
      <alignment horizontal="center" vertical="center"/>
      <protection hidden="1"/>
    </xf>
    <xf numFmtId="0" fontId="64" fillId="7" borderId="20" xfId="0" applyFont="1" applyFill="1" applyBorder="1" applyAlignment="1" applyProtection="1">
      <alignment horizontal="center" vertical="center"/>
      <protection hidden="1"/>
    </xf>
    <xf numFmtId="0" fontId="64" fillId="18" borderId="20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vertical="center" wrapText="1"/>
      <protection hidden="1"/>
    </xf>
    <xf numFmtId="0" fontId="5" fillId="0" borderId="71" xfId="0" applyFont="1" applyFill="1" applyBorder="1" applyAlignment="1" applyProtection="1">
      <alignment horizontal="center" vertical="center" wrapText="1"/>
      <protection hidden="1"/>
    </xf>
    <xf numFmtId="0" fontId="21" fillId="0" borderId="49" xfId="0" applyFont="1" applyFill="1" applyBorder="1" applyAlignment="1" applyProtection="1">
      <alignment vertical="center" wrapText="1"/>
      <protection hidden="1"/>
    </xf>
    <xf numFmtId="2" fontId="7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vertical="center" wrapText="1"/>
      <protection hidden="1"/>
    </xf>
    <xf numFmtId="0" fontId="89" fillId="0" borderId="0" xfId="0" applyFont="1" applyAlignment="1" applyProtection="1">
      <alignment vertical="center" wrapText="1"/>
      <protection hidden="1"/>
    </xf>
    <xf numFmtId="2" fontId="21" fillId="7" borderId="44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62" xfId="0" applyNumberFormat="1" applyFont="1" applyFill="1" applyBorder="1" applyAlignment="1" applyProtection="1">
      <alignment horizontal="center" vertical="center"/>
      <protection hidden="1"/>
    </xf>
    <xf numFmtId="0" fontId="41" fillId="14" borderId="1" xfId="0" applyFont="1" applyFill="1" applyBorder="1" applyAlignment="1" applyProtection="1">
      <alignment horizontal="center" vertical="center" wrapText="1"/>
      <protection hidden="1"/>
    </xf>
    <xf numFmtId="167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73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73" fillId="14" borderId="41" xfId="0" applyFont="1" applyFill="1" applyBorder="1" applyAlignment="1" applyProtection="1">
      <alignment horizontal="center" vertical="center" wrapText="1"/>
      <protection hidden="1"/>
    </xf>
    <xf numFmtId="0" fontId="94" fillId="14" borderId="42" xfId="0" applyFont="1" applyFill="1" applyBorder="1" applyAlignment="1" applyProtection="1">
      <alignment horizontal="center" vertical="center" wrapText="1"/>
      <protection hidden="1"/>
    </xf>
    <xf numFmtId="0" fontId="73" fillId="14" borderId="43" xfId="0" applyFont="1" applyFill="1" applyBorder="1" applyAlignment="1" applyProtection="1">
      <alignment horizontal="center" vertical="center" wrapText="1"/>
      <protection hidden="1"/>
    </xf>
    <xf numFmtId="0" fontId="73" fillId="14" borderId="45" xfId="0" applyFont="1" applyFill="1" applyBorder="1" applyAlignment="1" applyProtection="1">
      <alignment horizontal="center" vertical="center" wrapText="1"/>
      <protection hidden="1"/>
    </xf>
    <xf numFmtId="0" fontId="73" fillId="14" borderId="46" xfId="0" applyFont="1" applyFill="1" applyBorder="1" applyAlignment="1" applyProtection="1">
      <alignment horizontal="center" vertical="center" wrapText="1"/>
      <protection hidden="1"/>
    </xf>
    <xf numFmtId="0" fontId="73" fillId="14" borderId="39" xfId="0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Alignment="1" applyProtection="1">
      <alignment vertical="center" wrapText="1"/>
      <protection hidden="1"/>
    </xf>
    <xf numFmtId="0" fontId="88" fillId="0" borderId="0" xfId="0" applyFont="1" applyAlignment="1" applyProtection="1">
      <alignment vertical="center" wrapText="1"/>
      <protection hidden="1"/>
    </xf>
    <xf numFmtId="0" fontId="88" fillId="0" borderId="0" xfId="0" applyNumberFormat="1" applyFont="1" applyFill="1" applyAlignment="1" applyProtection="1">
      <alignment vertical="center" wrapText="1"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21" fillId="2" borderId="73" xfId="0" applyFont="1" applyFill="1" applyBorder="1" applyAlignment="1" applyProtection="1">
      <alignment horizontal="center" vertical="center" wrapText="1"/>
      <protection hidden="1"/>
    </xf>
    <xf numFmtId="0" fontId="52" fillId="5" borderId="71" xfId="0" applyFont="1" applyFill="1" applyBorder="1" applyAlignment="1" applyProtection="1">
      <alignment horizontal="center" vertical="center" wrapText="1"/>
      <protection hidden="1"/>
    </xf>
    <xf numFmtId="2" fontId="5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70" xfId="0" applyFont="1" applyFill="1" applyBorder="1" applyAlignment="1" applyProtection="1">
      <alignment horizontal="center" vertical="center" wrapText="1"/>
      <protection hidden="1"/>
    </xf>
    <xf numFmtId="2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2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3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7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38" xfId="0" applyNumberFormat="1" applyFont="1" applyFill="1" applyBorder="1" applyAlignment="1" applyProtection="1">
      <alignment horizontal="center" vertical="center" wrapText="1"/>
      <protection hidden="1"/>
    </xf>
    <xf numFmtId="0" fontId="41" fillId="14" borderId="41" xfId="0" applyFont="1" applyFill="1" applyBorder="1" applyAlignment="1" applyProtection="1">
      <alignment horizontal="center" vertical="center" wrapText="1"/>
      <protection hidden="1"/>
    </xf>
    <xf numFmtId="0" fontId="41" fillId="14" borderId="42" xfId="0" applyFont="1" applyFill="1" applyBorder="1" applyAlignment="1" applyProtection="1">
      <alignment horizontal="center" vertical="center" wrapText="1"/>
      <protection hidden="1"/>
    </xf>
    <xf numFmtId="0" fontId="41" fillId="14" borderId="43" xfId="0" applyFont="1" applyFill="1" applyBorder="1" applyAlignment="1" applyProtection="1">
      <alignment horizontal="center" vertical="center" wrapText="1"/>
      <protection hidden="1"/>
    </xf>
    <xf numFmtId="0" fontId="41" fillId="14" borderId="45" xfId="0" applyFont="1" applyFill="1" applyBorder="1" applyAlignment="1" applyProtection="1">
      <alignment horizontal="center" vertical="center" wrapText="1"/>
      <protection hidden="1"/>
    </xf>
    <xf numFmtId="0" fontId="41" fillId="14" borderId="46" xfId="0" applyFont="1" applyFill="1" applyBorder="1" applyAlignment="1" applyProtection="1">
      <alignment horizontal="center" vertical="center" wrapText="1"/>
      <protection hidden="1"/>
    </xf>
    <xf numFmtId="0" fontId="41" fillId="14" borderId="39" xfId="0" applyFont="1" applyFill="1" applyBorder="1" applyAlignment="1" applyProtection="1">
      <alignment horizontal="center" vertical="center" wrapText="1"/>
      <protection hidden="1"/>
    </xf>
    <xf numFmtId="0" fontId="72" fillId="14" borderId="23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2" fontId="41" fillId="14" borderId="39" xfId="0" applyNumberFormat="1" applyFont="1" applyFill="1" applyBorder="1" applyAlignment="1" applyProtection="1">
      <alignment horizontal="center" vertical="center" wrapText="1"/>
      <protection hidden="1"/>
    </xf>
    <xf numFmtId="2" fontId="41" fillId="14" borderId="1" xfId="0" applyNumberFormat="1" applyFont="1" applyFill="1" applyBorder="1" applyAlignment="1" applyProtection="1">
      <alignment horizontal="center" vertical="center" wrapText="1"/>
      <protection hidden="1"/>
    </xf>
    <xf numFmtId="169" fontId="41" fillId="14" borderId="43" xfId="0" applyNumberFormat="1" applyFont="1" applyFill="1" applyBorder="1" applyAlignment="1" applyProtection="1">
      <alignment horizontal="center" vertical="center" wrapText="1"/>
      <protection hidden="1"/>
    </xf>
    <xf numFmtId="166" fontId="2" fillId="7" borderId="58" xfId="0" applyNumberFormat="1" applyFont="1" applyFill="1" applyBorder="1" applyAlignment="1" applyProtection="1">
      <alignment vertical="center" wrapText="1"/>
      <protection hidden="1"/>
    </xf>
    <xf numFmtId="0" fontId="19" fillId="16" borderId="43" xfId="0" applyFont="1" applyFill="1" applyBorder="1" applyAlignment="1" applyProtection="1">
      <alignment horizontal="center" vertical="center" wrapText="1"/>
      <protection hidden="1"/>
    </xf>
    <xf numFmtId="0" fontId="16" fillId="25" borderId="1" xfId="0" applyFont="1" applyFill="1" applyBorder="1" applyAlignment="1" applyProtection="1">
      <alignment horizontal="center" vertical="center" wrapText="1"/>
      <protection hidden="1"/>
    </xf>
    <xf numFmtId="0" fontId="7" fillId="14" borderId="19" xfId="0" applyFont="1" applyFill="1" applyBorder="1" applyAlignment="1" applyProtection="1">
      <alignment horizontal="center" vertical="center" wrapText="1"/>
      <protection hidden="1"/>
    </xf>
    <xf numFmtId="0" fontId="31" fillId="14" borderId="41" xfId="0" applyFont="1" applyFill="1" applyBorder="1" applyAlignment="1" applyProtection="1">
      <alignment horizontal="center" vertical="center" wrapText="1"/>
      <protection hidden="1"/>
    </xf>
    <xf numFmtId="0" fontId="31" fillId="14" borderId="34" xfId="0" applyFont="1" applyFill="1" applyBorder="1" applyAlignment="1" applyProtection="1">
      <alignment horizontal="center" vertical="center" wrapText="1"/>
      <protection hidden="1"/>
    </xf>
    <xf numFmtId="0" fontId="31" fillId="14" borderId="4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locked="0" hidden="1"/>
    </xf>
    <xf numFmtId="170" fontId="21" fillId="19" borderId="22" xfId="0" applyNumberFormat="1" applyFont="1" applyFill="1" applyBorder="1" applyAlignment="1" applyProtection="1">
      <alignment horizontal="centerContinuous" vertical="center" wrapText="1"/>
      <protection hidden="1"/>
    </xf>
    <xf numFmtId="1" fontId="21" fillId="6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79" fillId="0" borderId="0" xfId="0" applyFont="1" applyBorder="1" applyAlignment="1" applyProtection="1">
      <alignment vertical="center" wrapText="1"/>
      <protection hidden="1"/>
    </xf>
    <xf numFmtId="0" fontId="79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vertical="center" wrapText="1"/>
      <protection hidden="1"/>
    </xf>
    <xf numFmtId="0" fontId="61" fillId="0" borderId="0" xfId="0" applyFont="1" applyAlignment="1" applyProtection="1">
      <alignment vertical="center" wrapText="1"/>
      <protection hidden="1"/>
    </xf>
    <xf numFmtId="0" fontId="61" fillId="0" borderId="0" xfId="0" applyFont="1" applyBorder="1" applyAlignment="1" applyProtection="1">
      <alignment vertical="center" wrapText="1"/>
      <protection hidden="1"/>
    </xf>
    <xf numFmtId="0" fontId="61" fillId="0" borderId="0" xfId="0" applyFont="1" applyBorder="1" applyProtection="1"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2" fontId="64" fillId="0" borderId="0" xfId="0" applyNumberFormat="1" applyFont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protection hidden="1"/>
    </xf>
    <xf numFmtId="0" fontId="64" fillId="0" borderId="0" xfId="0" applyFont="1" applyBorder="1" applyAlignment="1" applyProtection="1">
      <protection hidden="1"/>
    </xf>
    <xf numFmtId="0" fontId="64" fillId="2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61" fillId="0" borderId="0" xfId="0" applyFont="1" applyAlignment="1" applyProtection="1">
      <alignment vertical="justify" wrapText="1"/>
      <protection hidden="1"/>
    </xf>
    <xf numFmtId="0" fontId="81" fillId="0" borderId="0" xfId="0" applyFont="1" applyAlignment="1" applyProtection="1">
      <alignment horizontal="left" vertical="center" wrapText="1"/>
      <protection hidden="1"/>
    </xf>
    <xf numFmtId="0" fontId="81" fillId="0" borderId="0" xfId="0" applyFont="1" applyAlignment="1" applyProtection="1">
      <alignment horizontal="justify" vertical="justify" wrapText="1"/>
      <protection hidden="1"/>
    </xf>
    <xf numFmtId="0" fontId="81" fillId="0" borderId="0" xfId="0" applyFont="1" applyProtection="1">
      <protection hidden="1"/>
    </xf>
    <xf numFmtId="0" fontId="82" fillId="0" borderId="0" xfId="0" applyFont="1" applyAlignment="1" applyProtection="1">
      <alignment horizontal="justify" vertical="center"/>
      <protection hidden="1"/>
    </xf>
    <xf numFmtId="0" fontId="83" fillId="0" borderId="0" xfId="0" applyFont="1" applyAlignment="1" applyProtection="1">
      <alignment horizontal="center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81" fillId="0" borderId="0" xfId="0" applyFont="1" applyAlignment="1" applyProtection="1">
      <alignment horizontal="justify" vertical="center"/>
      <protection hidden="1"/>
    </xf>
    <xf numFmtId="0" fontId="81" fillId="0" borderId="0" xfId="0" applyFont="1" applyAlignment="1" applyProtection="1">
      <alignment horizontal="left"/>
      <protection hidden="1"/>
    </xf>
    <xf numFmtId="0" fontId="79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justify" vertical="justify" wrapText="1"/>
      <protection hidden="1"/>
    </xf>
    <xf numFmtId="180" fontId="61" fillId="0" borderId="0" xfId="0" applyNumberFormat="1" applyFont="1" applyAlignment="1" applyProtection="1">
      <alignment wrapText="1"/>
      <protection hidden="1"/>
    </xf>
    <xf numFmtId="0" fontId="64" fillId="0" borderId="0" xfId="0" applyFont="1" applyAlignment="1" applyProtection="1">
      <alignment horizontal="right" vertical="top" wrapText="1"/>
      <protection hidden="1"/>
    </xf>
    <xf numFmtId="0" fontId="64" fillId="0" borderId="0" xfId="0" applyFont="1" applyFill="1" applyAlignment="1" applyProtection="1">
      <alignment horizontal="left" wrapText="1"/>
      <protection hidden="1"/>
    </xf>
    <xf numFmtId="0" fontId="64" fillId="14" borderId="0" xfId="0" applyFont="1" applyFill="1" applyAlignment="1" applyProtection="1">
      <alignment horizontal="left" vertical="center" wrapText="1"/>
      <protection hidden="1"/>
    </xf>
    <xf numFmtId="0" fontId="64" fillId="14" borderId="0" xfId="0" applyFont="1" applyFill="1" applyProtection="1">
      <protection hidden="1"/>
    </xf>
    <xf numFmtId="0" fontId="64" fillId="14" borderId="0" xfId="0" applyFont="1" applyFill="1" applyAlignment="1" applyProtection="1">
      <alignment horizontal="justify" vertical="justify" wrapText="1"/>
      <protection hidden="1"/>
    </xf>
    <xf numFmtId="0" fontId="85" fillId="0" borderId="0" xfId="0" applyFont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86" fillId="0" borderId="0" xfId="0" applyFont="1" applyProtection="1">
      <protection hidden="1"/>
    </xf>
    <xf numFmtId="0" fontId="61" fillId="0" borderId="0" xfId="0" applyFont="1" applyBorder="1" applyAlignment="1" applyProtection="1">
      <alignment horizontal="center" vertical="center" wrapText="1"/>
      <protection hidden="1"/>
    </xf>
    <xf numFmtId="0" fontId="61" fillId="2" borderId="0" xfId="0" applyFont="1" applyFill="1" applyBorder="1" applyProtection="1">
      <protection hidden="1"/>
    </xf>
    <xf numFmtId="0" fontId="85" fillId="2" borderId="0" xfId="0" applyFont="1" applyFill="1" applyBorder="1" applyProtection="1">
      <protection hidden="1"/>
    </xf>
    <xf numFmtId="0" fontId="84" fillId="0" borderId="0" xfId="0" applyFont="1" applyAlignment="1" applyProtection="1">
      <alignment horizontal="left" vertical="center"/>
      <protection hidden="1"/>
    </xf>
    <xf numFmtId="0" fontId="85" fillId="0" borderId="0" xfId="0" applyFont="1" applyAlignment="1" applyProtection="1">
      <alignment horizontal="justify" vertical="justify" wrapText="1"/>
      <protection hidden="1"/>
    </xf>
    <xf numFmtId="0" fontId="19" fillId="0" borderId="2" xfId="0" applyFont="1" applyBorder="1" applyAlignment="1" applyProtection="1">
      <alignment horizontal="centerContinuous" vertical="center" wrapText="1"/>
      <protection hidden="1"/>
    </xf>
    <xf numFmtId="0" fontId="19" fillId="14" borderId="73" xfId="0" applyFont="1" applyFill="1" applyBorder="1" applyAlignment="1" applyProtection="1">
      <alignment horizontal="centerContinuous" vertical="center" wrapText="1"/>
      <protection hidden="1"/>
    </xf>
    <xf numFmtId="179" fontId="40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Continuous" vertical="center" wrapText="1"/>
      <protection hidden="1"/>
    </xf>
    <xf numFmtId="0" fontId="40" fillId="0" borderId="73" xfId="0" applyFont="1" applyFill="1" applyBorder="1" applyAlignment="1" applyProtection="1">
      <alignment horizontal="center" vertical="center" wrapText="1"/>
      <protection hidden="1"/>
    </xf>
    <xf numFmtId="167" fontId="40" fillId="0" borderId="73" xfId="0" applyNumberFormat="1" applyFont="1" applyBorder="1" applyAlignment="1" applyProtection="1">
      <alignment horizontal="center" vertical="center" wrapText="1"/>
      <protection hidden="1"/>
    </xf>
    <xf numFmtId="0" fontId="40" fillId="0" borderId="73" xfId="0" applyFont="1" applyBorder="1" applyAlignment="1" applyProtection="1">
      <alignment horizontal="center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2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2" borderId="1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Continuous" vertical="center" wrapText="1"/>
      <protection hidden="1"/>
    </xf>
    <xf numFmtId="165" fontId="40" fillId="2" borderId="1" xfId="0" applyNumberFormat="1" applyFont="1" applyFill="1" applyBorder="1" applyAlignment="1" applyProtection="1">
      <alignment horizontal="center" vertical="center" wrapText="1"/>
      <protection hidden="1"/>
    </xf>
    <xf numFmtId="179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Border="1" applyAlignment="1" applyProtection="1">
      <alignment horizontal="centerContinuous" vertical="center" wrapText="1"/>
      <protection hidden="1"/>
    </xf>
    <xf numFmtId="1" fontId="40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40" fillId="2" borderId="0" xfId="0" applyNumberFormat="1" applyFont="1" applyFill="1" applyBorder="1" applyAlignment="1" applyProtection="1">
      <alignment horizontal="center" vertical="center" wrapText="1"/>
      <protection hidden="1"/>
    </xf>
    <xf numFmtId="167" fontId="40" fillId="0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40" fillId="0" borderId="0" xfId="0" applyFont="1" applyFill="1" applyProtection="1">
      <protection hidden="1"/>
    </xf>
    <xf numFmtId="0" fontId="19" fillId="0" borderId="2" xfId="0" applyFont="1" applyFill="1" applyBorder="1" applyAlignment="1" applyProtection="1">
      <alignment horizontal="centerContinuous" vertical="center" wrapText="1"/>
      <protection hidden="1"/>
    </xf>
    <xf numFmtId="0" fontId="19" fillId="0" borderId="4" xfId="0" applyFont="1" applyFill="1" applyBorder="1" applyAlignment="1" applyProtection="1">
      <alignment horizontal="centerContinuous" vertical="center" wrapText="1"/>
      <protection hidden="1"/>
    </xf>
    <xf numFmtId="179" fontId="40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7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 vertical="center" wrapText="1"/>
      <protection hidden="1"/>
    </xf>
    <xf numFmtId="2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1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Continuous" vertical="center" wrapText="1"/>
      <protection hidden="1"/>
    </xf>
    <xf numFmtId="0" fontId="61" fillId="0" borderId="1" xfId="0" applyFont="1" applyFill="1" applyBorder="1" applyAlignment="1" applyProtection="1">
      <alignment horizontal="center" vertical="center" wrapText="1"/>
      <protection hidden="1"/>
    </xf>
    <xf numFmtId="165" fontId="6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61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61" fillId="2" borderId="1" xfId="0" applyFont="1" applyFill="1" applyBorder="1" applyAlignment="1" applyProtection="1">
      <alignment horizontal="center" vertical="center" wrapText="1"/>
      <protection hidden="1"/>
    </xf>
    <xf numFmtId="167" fontId="17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7" fillId="0" borderId="70" xfId="0" applyFont="1" applyBorder="1" applyAlignment="1" applyProtection="1">
      <alignment horizontal="center" wrapText="1"/>
      <protection hidden="1"/>
    </xf>
    <xf numFmtId="2" fontId="17" fillId="0" borderId="60" xfId="0" applyNumberFormat="1" applyFont="1" applyBorder="1" applyAlignment="1" applyProtection="1">
      <alignment horizontal="center" wrapText="1"/>
      <protection hidden="1"/>
    </xf>
    <xf numFmtId="2" fontId="17" fillId="0" borderId="56" xfId="0" applyNumberFormat="1" applyFont="1" applyBorder="1" applyAlignment="1" applyProtection="1">
      <alignment horizontal="center" wrapText="1"/>
      <protection hidden="1"/>
    </xf>
    <xf numFmtId="0" fontId="17" fillId="0" borderId="68" xfId="0" applyFont="1" applyBorder="1" applyAlignment="1" applyProtection="1">
      <alignment horizontal="center" wrapText="1"/>
      <protection hidden="1"/>
    </xf>
    <xf numFmtId="166" fontId="17" fillId="0" borderId="37" xfId="0" applyNumberFormat="1" applyFont="1" applyBorder="1" applyAlignment="1" applyProtection="1">
      <alignment horizontal="center" wrapText="1"/>
      <protection hidden="1"/>
    </xf>
    <xf numFmtId="166" fontId="17" fillId="0" borderId="35" xfId="0" applyNumberFormat="1" applyFont="1" applyBorder="1" applyAlignment="1" applyProtection="1">
      <alignment horizontal="center" wrapText="1"/>
      <protection hidden="1"/>
    </xf>
    <xf numFmtId="0" fontId="17" fillId="0" borderId="71" xfId="0" applyFont="1" applyBorder="1" applyAlignment="1" applyProtection="1">
      <alignment horizontal="center" wrapText="1"/>
      <protection hidden="1"/>
    </xf>
    <xf numFmtId="165" fontId="17" fillId="0" borderId="58" xfId="0" applyNumberFormat="1" applyFont="1" applyBorder="1" applyAlignment="1" applyProtection="1">
      <alignment horizontal="center" wrapText="1"/>
      <protection hidden="1"/>
    </xf>
    <xf numFmtId="165" fontId="17" fillId="0" borderId="63" xfId="0" applyNumberFormat="1" applyFont="1" applyBorder="1" applyAlignment="1" applyProtection="1">
      <alignment horizontal="center" wrapText="1"/>
      <protection hidden="1"/>
    </xf>
    <xf numFmtId="0" fontId="61" fillId="14" borderId="0" xfId="0" applyFont="1" applyFill="1" applyProtection="1">
      <protection hidden="1"/>
    </xf>
    <xf numFmtId="0" fontId="64" fillId="14" borderId="0" xfId="0" applyFont="1" applyFill="1" applyAlignment="1" applyProtection="1">
      <alignment vertical="justify" wrapText="1"/>
      <protection hidden="1"/>
    </xf>
    <xf numFmtId="0" fontId="85" fillId="14" borderId="0" xfId="0" applyFont="1" applyFill="1" applyAlignment="1" applyProtection="1">
      <alignment horizontal="left" vertical="justify" wrapText="1"/>
      <protection hidden="1"/>
    </xf>
    <xf numFmtId="0" fontId="85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Fill="1" applyAlignment="1" applyProtection="1">
      <alignment vertical="justify" wrapText="1"/>
      <protection hidden="1"/>
    </xf>
    <xf numFmtId="0" fontId="64" fillId="0" borderId="0" xfId="0" applyFont="1" applyAlignment="1" applyProtection="1">
      <alignment vertical="justify" wrapText="1"/>
      <protection hidden="1"/>
    </xf>
    <xf numFmtId="0" fontId="61" fillId="0" borderId="0" xfId="0" applyFont="1" applyAlignment="1" applyProtection="1">
      <alignment horizontal="left"/>
      <protection hidden="1"/>
    </xf>
    <xf numFmtId="0" fontId="64" fillId="0" borderId="0" xfId="0" applyFont="1" applyAlignment="1" applyProtection="1">
      <protection hidden="1"/>
    </xf>
    <xf numFmtId="0" fontId="86" fillId="24" borderId="0" xfId="6" applyFont="1" applyAlignment="1" applyProtection="1">
      <alignment horizontal="center" vertical="center"/>
      <protection locked="0" hidden="1"/>
    </xf>
    <xf numFmtId="0" fontId="64" fillId="24" borderId="0" xfId="6" applyFont="1" applyProtection="1">
      <alignment horizontal="center"/>
      <protection locked="0" hidden="1"/>
    </xf>
    <xf numFmtId="167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Continuous" vertical="center" wrapText="1"/>
      <protection hidden="1"/>
    </xf>
    <xf numFmtId="0" fontId="71" fillId="0" borderId="0" xfId="0" applyFont="1" applyProtection="1">
      <protection locked="0"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0" fontId="64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40" fillId="34" borderId="41" xfId="0" applyFont="1" applyFill="1" applyBorder="1" applyAlignment="1" applyProtection="1">
      <alignment horizontal="center" vertical="center"/>
      <protection hidden="1"/>
    </xf>
    <xf numFmtId="0" fontId="40" fillId="34" borderId="42" xfId="0" applyFont="1" applyFill="1" applyBorder="1" applyAlignment="1" applyProtection="1">
      <alignment horizontal="center" vertical="center"/>
      <protection hidden="1"/>
    </xf>
    <xf numFmtId="167" fontId="40" fillId="34" borderId="42" xfId="0" applyNumberFormat="1" applyFont="1" applyFill="1" applyBorder="1" applyAlignment="1" applyProtection="1">
      <alignment horizontal="center" vertical="center"/>
      <protection hidden="1"/>
    </xf>
    <xf numFmtId="0" fontId="40" fillId="34" borderId="75" xfId="0" applyFont="1" applyFill="1" applyBorder="1" applyAlignment="1" applyProtection="1">
      <alignment horizontal="center" vertical="center"/>
      <protection hidden="1"/>
    </xf>
    <xf numFmtId="0" fontId="40" fillId="34" borderId="34" xfId="0" applyFont="1" applyFill="1" applyBorder="1" applyAlignment="1" applyProtection="1">
      <alignment horizontal="center" vertical="center"/>
      <protection hidden="1"/>
    </xf>
    <xf numFmtId="0" fontId="40" fillId="34" borderId="18" xfId="0" applyFont="1" applyFill="1" applyBorder="1" applyAlignment="1" applyProtection="1">
      <alignment horizontal="center" vertical="center"/>
      <protection hidden="1"/>
    </xf>
    <xf numFmtId="167" fontId="40" fillId="34" borderId="18" xfId="0" applyNumberFormat="1" applyFont="1" applyFill="1" applyBorder="1" applyAlignment="1" applyProtection="1">
      <alignment horizontal="center" vertical="center"/>
      <protection hidden="1"/>
    </xf>
    <xf numFmtId="0" fontId="40" fillId="34" borderId="36" xfId="0" applyFont="1" applyFill="1" applyBorder="1" applyAlignment="1" applyProtection="1">
      <alignment horizontal="center" vertical="center"/>
      <protection hidden="1"/>
    </xf>
    <xf numFmtId="167" fontId="40" fillId="34" borderId="45" xfId="0" applyNumberFormat="1" applyFont="1" applyFill="1" applyBorder="1" applyAlignment="1" applyProtection="1">
      <alignment horizontal="center" vertical="center"/>
      <protection hidden="1"/>
    </xf>
    <xf numFmtId="0" fontId="40" fillId="34" borderId="55" xfId="0" applyFont="1" applyFill="1" applyBorder="1" applyAlignment="1" applyProtection="1">
      <alignment horizontal="center" vertical="center"/>
      <protection hidden="1"/>
    </xf>
    <xf numFmtId="167" fontId="40" fillId="34" borderId="55" xfId="0" applyNumberFormat="1" applyFont="1" applyFill="1" applyBorder="1" applyAlignment="1" applyProtection="1">
      <alignment horizontal="center" vertical="center"/>
      <protection hidden="1"/>
    </xf>
    <xf numFmtId="0" fontId="40" fillId="34" borderId="39" xfId="0" applyFont="1" applyFill="1" applyBorder="1" applyAlignment="1" applyProtection="1">
      <alignment horizontal="center" vertical="center"/>
      <protection hidden="1"/>
    </xf>
    <xf numFmtId="0" fontId="40" fillId="34" borderId="43" xfId="0" applyFont="1" applyFill="1" applyBorder="1" applyAlignment="1" applyProtection="1">
      <alignment horizontal="center" vertical="center"/>
      <protection hidden="1"/>
    </xf>
    <xf numFmtId="167" fontId="40" fillId="34" borderId="34" xfId="0" applyNumberFormat="1" applyFont="1" applyFill="1" applyBorder="1" applyAlignment="1" applyProtection="1">
      <alignment horizontal="center" vertical="center"/>
      <protection hidden="1"/>
    </xf>
    <xf numFmtId="167" fontId="40" fillId="34" borderId="9" xfId="0" applyNumberFormat="1" applyFont="1" applyFill="1" applyBorder="1" applyAlignment="1" applyProtection="1">
      <alignment horizontal="center" vertical="center"/>
      <protection hidden="1"/>
    </xf>
    <xf numFmtId="0" fontId="40" fillId="34" borderId="45" xfId="0" applyFont="1" applyFill="1" applyBorder="1" applyAlignment="1" applyProtection="1">
      <alignment horizontal="center" vertical="center"/>
      <protection hidden="1"/>
    </xf>
    <xf numFmtId="0" fontId="40" fillId="34" borderId="46" xfId="0" applyFont="1" applyFill="1" applyBorder="1" applyAlignment="1" applyProtection="1">
      <alignment horizontal="center" vertical="center"/>
      <protection hidden="1"/>
    </xf>
    <xf numFmtId="166" fontId="40" fillId="34" borderId="42" xfId="0" applyNumberFormat="1" applyFont="1" applyFill="1" applyBorder="1" applyAlignment="1" applyProtection="1">
      <alignment horizontal="center" vertical="center"/>
      <protection hidden="1"/>
    </xf>
    <xf numFmtId="0" fontId="40" fillId="34" borderId="9" xfId="0" applyFont="1" applyFill="1" applyBorder="1" applyAlignment="1" applyProtection="1">
      <alignment horizontal="center" vertical="center"/>
      <protection hidden="1"/>
    </xf>
    <xf numFmtId="166" fontId="40" fillId="34" borderId="9" xfId="0" applyNumberFormat="1" applyFont="1" applyFill="1" applyBorder="1" applyAlignment="1" applyProtection="1">
      <alignment horizontal="center" vertical="center"/>
      <protection hidden="1"/>
    </xf>
    <xf numFmtId="2" fontId="40" fillId="34" borderId="46" xfId="0" applyNumberFormat="1" applyFont="1" applyFill="1" applyBorder="1" applyAlignment="1" applyProtection="1">
      <alignment horizontal="center" vertical="center"/>
      <protection hidden="1"/>
    </xf>
    <xf numFmtId="167" fontId="40" fillId="34" borderId="41" xfId="0" applyNumberFormat="1" applyFont="1" applyFill="1" applyBorder="1" applyAlignment="1" applyProtection="1">
      <alignment horizontal="center" vertical="center"/>
      <protection hidden="1"/>
    </xf>
    <xf numFmtId="0" fontId="40" fillId="34" borderId="33" xfId="0" applyFont="1" applyFill="1" applyBorder="1" applyAlignment="1" applyProtection="1">
      <alignment horizontal="center" vertical="center"/>
      <protection hidden="1"/>
    </xf>
    <xf numFmtId="0" fontId="40" fillId="34" borderId="11" xfId="0" applyFont="1" applyFill="1" applyBorder="1" applyAlignment="1" applyProtection="1">
      <alignment horizontal="center" vertical="center"/>
      <protection hidden="1"/>
    </xf>
    <xf numFmtId="0" fontId="40" fillId="34" borderId="57" xfId="0" applyFont="1" applyFill="1" applyBorder="1" applyAlignment="1" applyProtection="1">
      <alignment horizontal="center" vertical="center"/>
      <protection hidden="1"/>
    </xf>
    <xf numFmtId="181" fontId="40" fillId="34" borderId="42" xfId="0" applyNumberFormat="1" applyFont="1" applyFill="1" applyBorder="1" applyAlignment="1" applyProtection="1">
      <alignment horizontal="center" vertical="center" wrapText="1"/>
      <protection hidden="1"/>
    </xf>
    <xf numFmtId="181" fontId="40" fillId="34" borderId="33" xfId="0" applyNumberFormat="1" applyFont="1" applyFill="1" applyBorder="1" applyAlignment="1" applyProtection="1">
      <alignment horizontal="center" vertical="center" wrapText="1"/>
      <protection hidden="1"/>
    </xf>
    <xf numFmtId="181" fontId="40" fillId="34" borderId="9" xfId="0" applyNumberFormat="1" applyFont="1" applyFill="1" applyBorder="1" applyAlignment="1" applyProtection="1">
      <alignment horizontal="center" vertical="center" wrapText="1"/>
      <protection hidden="1"/>
    </xf>
    <xf numFmtId="181" fontId="40" fillId="34" borderId="11" xfId="0" applyNumberFormat="1" applyFont="1" applyFill="1" applyBorder="1" applyAlignment="1" applyProtection="1">
      <alignment horizontal="center" vertical="center" wrapText="1"/>
      <protection hidden="1"/>
    </xf>
    <xf numFmtId="181" fontId="40" fillId="34" borderId="46" xfId="0" applyNumberFormat="1" applyFont="1" applyFill="1" applyBorder="1" applyAlignment="1" applyProtection="1">
      <alignment horizontal="center" vertical="center" wrapText="1"/>
      <protection hidden="1"/>
    </xf>
    <xf numFmtId="181" fontId="40" fillId="34" borderId="57" xfId="0" applyNumberFormat="1" applyFont="1" applyFill="1" applyBorder="1" applyAlignment="1" applyProtection="1">
      <alignment horizontal="center" vertical="center" wrapText="1"/>
      <protection hidden="1"/>
    </xf>
    <xf numFmtId="4" fontId="40" fillId="34" borderId="42" xfId="0" applyNumberFormat="1" applyFont="1" applyFill="1" applyBorder="1" applyAlignment="1" applyProtection="1">
      <alignment horizontal="center" vertical="center" wrapText="1"/>
      <protection hidden="1"/>
    </xf>
    <xf numFmtId="182" fontId="40" fillId="34" borderId="33" xfId="0" applyNumberFormat="1" applyFont="1" applyFill="1" applyBorder="1" applyAlignment="1" applyProtection="1">
      <alignment horizontal="center" vertical="center" wrapText="1"/>
      <protection hidden="1"/>
    </xf>
    <xf numFmtId="4" fontId="40" fillId="34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 horizontal="center" vertical="center" wrapText="1"/>
      <protection hidden="1"/>
    </xf>
    <xf numFmtId="4" fontId="40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57" xfId="0" applyFill="1" applyBorder="1" applyAlignment="1" applyProtection="1">
      <alignment horizontal="center" vertical="center" wrapText="1"/>
      <protection hidden="1"/>
    </xf>
    <xf numFmtId="0" fontId="0" fillId="34" borderId="9" xfId="0" applyFill="1" applyBorder="1" applyAlignment="1" applyProtection="1">
      <alignment horizontal="center" vertical="center" wrapText="1"/>
      <protection hidden="1"/>
    </xf>
    <xf numFmtId="0" fontId="0" fillId="34" borderId="46" xfId="0" applyFill="1" applyBorder="1" applyAlignment="1" applyProtection="1">
      <alignment horizontal="center" vertical="center" wrapText="1"/>
      <protection hidden="1"/>
    </xf>
    <xf numFmtId="167" fontId="40" fillId="34" borderId="33" xfId="0" applyNumberFormat="1" applyFont="1" applyFill="1" applyBorder="1" applyAlignment="1" applyProtection="1">
      <alignment horizontal="center" vertical="center" wrapText="1"/>
      <protection hidden="1"/>
    </xf>
    <xf numFmtId="167" fontId="40" fillId="34" borderId="11" xfId="0" applyNumberFormat="1" applyFont="1" applyFill="1" applyBorder="1" applyAlignment="1" applyProtection="1">
      <alignment horizontal="center" vertical="center" wrapText="1"/>
      <protection hidden="1"/>
    </xf>
    <xf numFmtId="167" fontId="40" fillId="34" borderId="46" xfId="0" applyNumberFormat="1" applyFont="1" applyFill="1" applyBorder="1" applyAlignment="1" applyProtection="1">
      <alignment horizontal="center" vertical="center"/>
      <protection hidden="1"/>
    </xf>
    <xf numFmtId="167" fontId="0" fillId="34" borderId="57" xfId="0" applyNumberFormat="1" applyFill="1" applyBorder="1" applyAlignment="1" applyProtection="1">
      <alignment horizontal="center" vertical="center" wrapText="1"/>
      <protection hidden="1"/>
    </xf>
    <xf numFmtId="0" fontId="40" fillId="34" borderId="43" xfId="0" applyFont="1" applyFill="1" applyBorder="1" applyAlignment="1" applyProtection="1">
      <alignment horizontal="center" vertical="center" wrapText="1"/>
      <protection hidden="1"/>
    </xf>
    <xf numFmtId="0" fontId="0" fillId="34" borderId="36" xfId="0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 applyProtection="1">
      <alignment horizontal="center" vertical="center" wrapText="1"/>
      <protection hidden="1"/>
    </xf>
    <xf numFmtId="0" fontId="40" fillId="34" borderId="33" xfId="0" applyFont="1" applyFill="1" applyBorder="1" applyAlignment="1" applyProtection="1">
      <alignment horizontal="center" vertical="center" wrapText="1"/>
      <protection hidden="1"/>
    </xf>
    <xf numFmtId="2" fontId="40" fillId="34" borderId="9" xfId="0" applyNumberFormat="1" applyFont="1" applyFill="1" applyBorder="1" applyAlignment="1" applyProtection="1">
      <alignment horizontal="center" vertical="center"/>
      <protection hidden="1"/>
    </xf>
    <xf numFmtId="167" fontId="40" fillId="34" borderId="43" xfId="0" applyNumberFormat="1" applyFont="1" applyFill="1" applyBorder="1" applyAlignment="1" applyProtection="1">
      <alignment horizontal="center" vertical="center" wrapText="1"/>
      <protection hidden="1"/>
    </xf>
    <xf numFmtId="167" fontId="40" fillId="34" borderId="36" xfId="0" applyNumberFormat="1" applyFont="1" applyFill="1" applyBorder="1" applyAlignment="1" applyProtection="1">
      <alignment horizontal="center" vertical="center" wrapText="1"/>
      <protection hidden="1"/>
    </xf>
    <xf numFmtId="167" fontId="40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40" fillId="34" borderId="36" xfId="0" applyFont="1" applyFill="1" applyBorder="1" applyAlignment="1" applyProtection="1">
      <alignment horizontal="center" vertical="center" wrapText="1"/>
      <protection hidden="1"/>
    </xf>
    <xf numFmtId="0" fontId="40" fillId="34" borderId="39" xfId="0" applyFont="1" applyFill="1" applyBorder="1" applyAlignment="1" applyProtection="1">
      <alignment horizontal="center" vertical="center" wrapText="1"/>
      <protection hidden="1"/>
    </xf>
    <xf numFmtId="167" fontId="40" fillId="34" borderId="32" xfId="0" applyNumberFormat="1" applyFont="1" applyFill="1" applyBorder="1" applyAlignment="1" applyProtection="1">
      <alignment horizontal="center" vertical="center"/>
      <protection hidden="1"/>
    </xf>
    <xf numFmtId="0" fontId="40" fillId="34" borderId="28" xfId="0" applyFont="1" applyFill="1" applyBorder="1" applyAlignment="1" applyProtection="1">
      <alignment horizontal="center" vertical="center" wrapText="1"/>
      <protection hidden="1"/>
    </xf>
    <xf numFmtId="0" fontId="9" fillId="24" borderId="1" xfId="6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64" fillId="0" borderId="0" xfId="0" applyFont="1" applyFill="1" applyAlignment="1" applyProtection="1">
      <alignment horizontal="justify" vertical="justify" wrapText="1"/>
      <protection locked="0" hidden="1"/>
    </xf>
    <xf numFmtId="0" fontId="64" fillId="0" borderId="0" xfId="0" applyFont="1" applyFill="1" applyProtection="1">
      <protection locked="0" hidden="1"/>
    </xf>
    <xf numFmtId="0" fontId="64" fillId="0" borderId="0" xfId="0" applyFont="1" applyFill="1" applyAlignment="1" applyProtection="1">
      <alignment horizontal="left" vertical="justify" wrapText="1"/>
      <protection locked="0" hidden="1"/>
    </xf>
    <xf numFmtId="0" fontId="64" fillId="0" borderId="0" xfId="0" applyFont="1" applyAlignment="1" applyProtection="1">
      <alignment horizontal="justify" vertical="justify" wrapText="1"/>
      <protection locked="0" hidden="1"/>
    </xf>
    <xf numFmtId="0" fontId="64" fillId="0" borderId="0" xfId="0" applyFont="1" applyAlignment="1" applyProtection="1">
      <alignment horizontal="left" vertical="justify" wrapText="1"/>
      <protection locked="0" hidden="1"/>
    </xf>
    <xf numFmtId="0" fontId="64" fillId="0" borderId="0" xfId="0" applyFont="1" applyBorder="1" applyAlignment="1" applyProtection="1">
      <alignment horizontal="justify" vertical="justify" wrapText="1"/>
      <protection locked="0" hidden="1"/>
    </xf>
    <xf numFmtId="0" fontId="64" fillId="0" borderId="0" xfId="0" applyFont="1" applyProtection="1">
      <protection locked="0" hidden="1"/>
    </xf>
    <xf numFmtId="0" fontId="64" fillId="0" borderId="0" xfId="0" applyFont="1" applyAlignment="1" applyProtection="1">
      <alignment horizontal="left"/>
      <protection locked="0" hidden="1"/>
    </xf>
    <xf numFmtId="1" fontId="64" fillId="0" borderId="0" xfId="0" applyNumberFormat="1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14" fontId="38" fillId="0" borderId="42" xfId="0" applyNumberFormat="1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38" fillId="0" borderId="46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61" fillId="0" borderId="0" xfId="0" applyFont="1" applyProtection="1">
      <protection locked="0" hidden="1"/>
    </xf>
    <xf numFmtId="0" fontId="64" fillId="34" borderId="18" xfId="0" applyFont="1" applyFill="1" applyBorder="1" applyAlignment="1" applyProtection="1">
      <alignment horizontal="center" vertical="center" wrapText="1"/>
      <protection hidden="1"/>
    </xf>
    <xf numFmtId="0" fontId="0" fillId="34" borderId="18" xfId="0" applyFill="1" applyBorder="1" applyAlignment="1" applyProtection="1">
      <alignment horizontal="center" vertical="center" wrapText="1"/>
      <protection hidden="1"/>
    </xf>
    <xf numFmtId="0" fontId="64" fillId="34" borderId="9" xfId="0" applyFont="1" applyFill="1" applyBorder="1" applyAlignment="1" applyProtection="1">
      <alignment horizontal="center" vertical="center" wrapText="1"/>
      <protection hidden="1"/>
    </xf>
    <xf numFmtId="0" fontId="0" fillId="34" borderId="46" xfId="0" applyFill="1" applyBorder="1" applyAlignment="1" applyProtection="1">
      <alignment vertical="center" wrapText="1"/>
      <protection hidden="1"/>
    </xf>
    <xf numFmtId="0" fontId="64" fillId="34" borderId="42" xfId="0" applyFont="1" applyFill="1" applyBorder="1" applyAlignment="1" applyProtection="1">
      <alignment horizontal="center" vertical="center" wrapText="1"/>
      <protection hidden="1"/>
    </xf>
    <xf numFmtId="0" fontId="0" fillId="34" borderId="42" xfId="0" applyFill="1" applyBorder="1" applyAlignment="1" applyProtection="1">
      <alignment horizontal="center" vertical="center" wrapText="1"/>
      <protection hidden="1"/>
    </xf>
    <xf numFmtId="181" fontId="0" fillId="34" borderId="9" xfId="0" applyNumberFormat="1" applyFill="1" applyBorder="1" applyAlignment="1" applyProtection="1">
      <alignment horizontal="center" vertical="center" wrapText="1"/>
      <protection hidden="1"/>
    </xf>
    <xf numFmtId="4" fontId="0" fillId="34" borderId="9" xfId="0" applyNumberFormat="1" applyFill="1" applyBorder="1" applyAlignment="1" applyProtection="1">
      <alignment horizontal="center" vertical="center" wrapText="1"/>
      <protection hidden="1"/>
    </xf>
    <xf numFmtId="167" fontId="64" fillId="34" borderId="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73" xfId="0" applyFont="1" applyBorder="1" applyAlignment="1" applyProtection="1">
      <alignment horizontal="center" vertical="center" textRotation="90" wrapText="1"/>
      <protection hidden="1"/>
    </xf>
    <xf numFmtId="0" fontId="40" fillId="0" borderId="10" xfId="0" applyFont="1" applyBorder="1" applyAlignment="1" applyProtection="1">
      <alignment horizontal="center" vertical="center" textRotation="90" wrapText="1"/>
      <protection hidden="1"/>
    </xf>
    <xf numFmtId="0" fontId="40" fillId="0" borderId="49" xfId="0" applyFont="1" applyBorder="1" applyAlignment="1" applyProtection="1">
      <alignment horizontal="center" vertical="center" textRotation="90" wrapText="1"/>
      <protection hidden="1"/>
    </xf>
    <xf numFmtId="0" fontId="68" fillId="17" borderId="6" xfId="0" applyFont="1" applyFill="1" applyBorder="1" applyAlignment="1" applyProtection="1">
      <alignment horizontal="center" vertical="center"/>
      <protection hidden="1"/>
    </xf>
    <xf numFmtId="0" fontId="68" fillId="17" borderId="7" xfId="0" applyFont="1" applyFill="1" applyBorder="1" applyAlignment="1" applyProtection="1">
      <alignment horizontal="center" vertical="center"/>
      <protection hidden="1"/>
    </xf>
    <xf numFmtId="0" fontId="68" fillId="17" borderId="8" xfId="0" applyFont="1" applyFill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 textRotation="90" wrapText="1"/>
      <protection hidden="1"/>
    </xf>
    <xf numFmtId="0" fontId="19" fillId="0" borderId="10" xfId="0" applyFont="1" applyBorder="1" applyAlignment="1" applyProtection="1">
      <alignment horizontal="center" vertical="center" textRotation="90" wrapText="1"/>
      <protection hidden="1"/>
    </xf>
    <xf numFmtId="0" fontId="19" fillId="0" borderId="49" xfId="0" applyFont="1" applyBorder="1" applyAlignment="1" applyProtection="1">
      <alignment horizontal="center" vertical="center" textRotation="90" wrapText="1"/>
      <protection hidden="1"/>
    </xf>
    <xf numFmtId="0" fontId="64" fillId="0" borderId="42" xfId="0" applyFont="1" applyBorder="1" applyAlignment="1" applyProtection="1">
      <alignment horizontal="center" vertical="center"/>
      <protection hidden="1"/>
    </xf>
    <xf numFmtId="0" fontId="64" fillId="0" borderId="9" xfId="0" applyFont="1" applyBorder="1" applyAlignment="1" applyProtection="1">
      <alignment horizontal="center" vertical="center"/>
      <protection hidden="1"/>
    </xf>
    <xf numFmtId="0" fontId="64" fillId="0" borderId="46" xfId="0" applyFont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 textRotation="90" wrapText="1"/>
      <protection hidden="1"/>
    </xf>
    <xf numFmtId="0" fontId="19" fillId="2" borderId="10" xfId="0" applyFont="1" applyFill="1" applyBorder="1" applyAlignment="1" applyProtection="1">
      <alignment horizontal="center" vertical="center" textRotation="90" wrapText="1"/>
      <protection hidden="1"/>
    </xf>
    <xf numFmtId="0" fontId="19" fillId="2" borderId="49" xfId="0" applyFont="1" applyFill="1" applyBorder="1" applyAlignment="1" applyProtection="1">
      <alignment horizontal="center" vertical="center" textRotation="90" wrapText="1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9" xfId="0" applyFont="1" applyFill="1" applyBorder="1" applyAlignment="1" applyProtection="1">
      <alignment horizontal="center" vertical="center"/>
      <protection hidden="1"/>
    </xf>
    <xf numFmtId="0" fontId="64" fillId="2" borderId="46" xfId="0" applyFont="1" applyFill="1" applyBorder="1" applyAlignment="1" applyProtection="1">
      <alignment horizontal="center" vertical="center"/>
      <protection hidden="1"/>
    </xf>
    <xf numFmtId="0" fontId="40" fillId="0" borderId="72" xfId="0" applyFont="1" applyBorder="1" applyAlignment="1" applyProtection="1">
      <alignment horizontal="center" vertical="center" textRotation="90" wrapText="1"/>
      <protection hidden="1"/>
    </xf>
    <xf numFmtId="0" fontId="40" fillId="0" borderId="52" xfId="0" applyFont="1" applyBorder="1" applyAlignment="1" applyProtection="1">
      <alignment horizontal="center" vertical="center" textRotation="90" wrapText="1"/>
      <protection hidden="1"/>
    </xf>
    <xf numFmtId="0" fontId="40" fillId="2" borderId="73" xfId="0" applyFont="1" applyFill="1" applyBorder="1" applyAlignment="1" applyProtection="1">
      <alignment horizontal="center" vertical="center" textRotation="90"/>
      <protection hidden="1"/>
    </xf>
    <xf numFmtId="0" fontId="40" fillId="2" borderId="10" xfId="0" applyFont="1" applyFill="1" applyBorder="1" applyAlignment="1" applyProtection="1">
      <alignment horizontal="center" vertical="center" textRotation="90"/>
      <protection hidden="1"/>
    </xf>
    <xf numFmtId="0" fontId="40" fillId="2" borderId="72" xfId="0" applyFont="1" applyFill="1" applyBorder="1" applyAlignment="1" applyProtection="1">
      <alignment horizontal="center" vertical="center" textRotation="90"/>
      <protection hidden="1"/>
    </xf>
    <xf numFmtId="0" fontId="40" fillId="2" borderId="52" xfId="0" applyFont="1" applyFill="1" applyBorder="1" applyAlignment="1" applyProtection="1">
      <alignment horizontal="center" vertical="center" textRotation="90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0" fontId="64" fillId="2" borderId="24" xfId="0" applyFont="1" applyFill="1" applyBorder="1" applyAlignment="1" applyProtection="1">
      <alignment horizontal="center" vertical="center"/>
      <protection hidden="1"/>
    </xf>
    <xf numFmtId="0" fontId="64" fillId="2" borderId="48" xfId="0" applyFont="1" applyFill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/>
      <protection hidden="1"/>
    </xf>
    <xf numFmtId="0" fontId="40" fillId="0" borderId="10" xfId="0" applyFont="1" applyBorder="1" applyAlignment="1" applyProtection="1">
      <alignment horizontal="center" vertical="center" textRotation="90"/>
      <protection hidden="1"/>
    </xf>
    <xf numFmtId="0" fontId="40" fillId="0" borderId="49" xfId="0" applyFont="1" applyBorder="1" applyAlignment="1" applyProtection="1">
      <alignment horizontal="center" vertical="center" textRotation="90"/>
      <protection hidden="1"/>
    </xf>
    <xf numFmtId="0" fontId="40" fillId="0" borderId="2" xfId="0" applyFont="1" applyBorder="1" applyAlignment="1" applyProtection="1">
      <alignment horizontal="center" vertical="center" textRotation="90"/>
      <protection hidden="1"/>
    </xf>
    <xf numFmtId="0" fontId="17" fillId="0" borderId="73" xfId="0" applyFont="1" applyBorder="1" applyAlignment="1" applyProtection="1">
      <alignment horizontal="center" vertical="center" textRotation="90" wrapText="1"/>
      <protection hidden="1"/>
    </xf>
    <xf numFmtId="0" fontId="17" fillId="0" borderId="72" xfId="0" applyFont="1" applyBorder="1" applyAlignment="1" applyProtection="1">
      <alignment horizontal="center" vertical="center" textRotation="90" wrapText="1"/>
      <protection hidden="1"/>
    </xf>
    <xf numFmtId="0" fontId="17" fillId="0" borderId="52" xfId="0" applyFont="1" applyBorder="1" applyAlignment="1" applyProtection="1">
      <alignment horizontal="center" vertical="center" textRotation="90" wrapText="1"/>
      <protection hidden="1"/>
    </xf>
    <xf numFmtId="0" fontId="64" fillId="0" borderId="69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0" fontId="64" fillId="0" borderId="55" xfId="0" applyFont="1" applyBorder="1" applyAlignment="1" applyProtection="1">
      <alignment horizontal="center" vertical="center"/>
      <protection hidden="1"/>
    </xf>
    <xf numFmtId="14" fontId="40" fillId="0" borderId="75" xfId="0" applyNumberFormat="1" applyFont="1" applyBorder="1" applyAlignment="1" applyProtection="1">
      <alignment horizontal="center" vertical="center"/>
      <protection hidden="1"/>
    </xf>
    <xf numFmtId="14" fontId="40" fillId="0" borderId="67" xfId="0" applyNumberFormat="1" applyFont="1" applyBorder="1" applyAlignment="1" applyProtection="1">
      <alignment horizontal="center" vertical="center"/>
      <protection hidden="1"/>
    </xf>
    <xf numFmtId="14" fontId="40" fillId="0" borderId="80" xfId="0" applyNumberFormat="1" applyFont="1" applyBorder="1" applyAlignment="1" applyProtection="1">
      <alignment horizontal="center" vertical="center"/>
      <protection hidden="1"/>
    </xf>
    <xf numFmtId="0" fontId="64" fillId="0" borderId="73" xfId="0" applyFont="1" applyBorder="1" applyAlignment="1" applyProtection="1">
      <alignment horizontal="center" vertical="center" textRotation="90" wrapText="1"/>
      <protection hidden="1"/>
    </xf>
    <xf numFmtId="0" fontId="64" fillId="0" borderId="72" xfId="0" applyFont="1" applyBorder="1" applyAlignment="1" applyProtection="1">
      <alignment horizontal="center" vertical="center" textRotation="90" wrapText="1"/>
      <protection hidden="1"/>
    </xf>
    <xf numFmtId="0" fontId="65" fillId="17" borderId="2" xfId="0" applyFont="1" applyFill="1" applyBorder="1" applyAlignment="1" applyProtection="1">
      <alignment horizontal="center" vertical="center" wrapText="1"/>
      <protection hidden="1"/>
    </xf>
    <xf numFmtId="0" fontId="65" fillId="17" borderId="3" xfId="0" applyFont="1" applyFill="1" applyBorder="1" applyAlignment="1" applyProtection="1">
      <alignment horizontal="center" vertical="center" wrapText="1"/>
      <protection hidden="1"/>
    </xf>
    <xf numFmtId="0" fontId="65" fillId="17" borderId="4" xfId="0" applyFont="1" applyFill="1" applyBorder="1" applyAlignment="1" applyProtection="1">
      <alignment horizontal="center" vertical="center" wrapText="1"/>
      <protection hidden="1"/>
    </xf>
    <xf numFmtId="0" fontId="65" fillId="17" borderId="49" xfId="0" applyFont="1" applyFill="1" applyBorder="1" applyAlignment="1" applyProtection="1">
      <alignment horizontal="center" vertical="center" wrapText="1"/>
      <protection hidden="1"/>
    </xf>
    <xf numFmtId="0" fontId="65" fillId="17" borderId="5" xfId="0" applyFont="1" applyFill="1" applyBorder="1" applyAlignment="1" applyProtection="1">
      <alignment horizontal="center" vertical="center" wrapText="1"/>
      <protection hidden="1"/>
    </xf>
    <xf numFmtId="0" fontId="65" fillId="17" borderId="40" xfId="0" applyFont="1" applyFill="1" applyBorder="1" applyAlignment="1" applyProtection="1">
      <alignment horizontal="center" vertical="center" wrapText="1"/>
      <protection hidden="1"/>
    </xf>
    <xf numFmtId="0" fontId="40" fillId="0" borderId="9" xfId="0" applyFont="1" applyFill="1" applyBorder="1" applyAlignment="1" applyProtection="1">
      <alignment horizontal="center" vertical="center"/>
      <protection hidden="1"/>
    </xf>
    <xf numFmtId="0" fontId="40" fillId="0" borderId="36" xfId="0" applyFont="1" applyFill="1" applyBorder="1" applyAlignment="1" applyProtection="1">
      <alignment horizontal="center" vertical="center"/>
      <protection hidden="1"/>
    </xf>
    <xf numFmtId="0" fontId="40" fillId="0" borderId="46" xfId="0" applyFont="1" applyFill="1" applyBorder="1" applyAlignment="1" applyProtection="1">
      <alignment horizontal="center" vertical="center"/>
      <protection hidden="1"/>
    </xf>
    <xf numFmtId="0" fontId="40" fillId="0" borderId="39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0" fillId="17" borderId="6" xfId="0" applyFont="1" applyFill="1" applyBorder="1" applyAlignment="1" applyProtection="1">
      <alignment horizontal="center" vertical="center"/>
      <protection hidden="1"/>
    </xf>
    <xf numFmtId="0" fontId="10" fillId="17" borderId="7" xfId="0" applyFont="1" applyFill="1" applyBorder="1" applyAlignment="1" applyProtection="1">
      <alignment horizontal="center" vertical="center"/>
      <protection hidden="1"/>
    </xf>
    <xf numFmtId="0" fontId="10" fillId="17" borderId="8" xfId="0" applyFont="1" applyFill="1" applyBorder="1" applyAlignment="1" applyProtection="1">
      <alignment horizontal="center" vertical="center"/>
      <protection hidden="1"/>
    </xf>
    <xf numFmtId="0" fontId="19" fillId="18" borderId="2" xfId="0" applyFont="1" applyFill="1" applyBorder="1" applyAlignment="1" applyProtection="1">
      <alignment horizontal="center" vertical="center" wrapText="1"/>
      <protection hidden="1"/>
    </xf>
    <xf numFmtId="0" fontId="19" fillId="18" borderId="3" xfId="0" applyFont="1" applyFill="1" applyBorder="1" applyAlignment="1" applyProtection="1">
      <alignment horizontal="center" vertical="center" wrapText="1"/>
      <protection hidden="1"/>
    </xf>
    <xf numFmtId="0" fontId="19" fillId="18" borderId="4" xfId="0" applyFont="1" applyFill="1" applyBorder="1" applyAlignment="1" applyProtection="1">
      <alignment horizontal="center" vertical="center" wrapText="1"/>
      <protection hidden="1"/>
    </xf>
    <xf numFmtId="0" fontId="17" fillId="18" borderId="6" xfId="0" applyFont="1" applyFill="1" applyBorder="1" applyAlignment="1" applyProtection="1">
      <alignment horizontal="center" vertical="center"/>
      <protection hidden="1"/>
    </xf>
    <xf numFmtId="0" fontId="17" fillId="18" borderId="7" xfId="0" applyFont="1" applyFill="1" applyBorder="1" applyAlignment="1" applyProtection="1">
      <alignment horizontal="center" vertical="center"/>
      <protection hidden="1"/>
    </xf>
    <xf numFmtId="0" fontId="17" fillId="18" borderId="8" xfId="0" applyFont="1" applyFill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/>
      <protection hidden="1"/>
    </xf>
    <xf numFmtId="0" fontId="65" fillId="17" borderId="7" xfId="0" applyFont="1" applyFill="1" applyBorder="1" applyAlignment="1" applyProtection="1">
      <alignment horizontal="center" vertical="center"/>
      <protection hidden="1"/>
    </xf>
    <xf numFmtId="0" fontId="65" fillId="17" borderId="8" xfId="0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65" fillId="17" borderId="6" xfId="0" applyFont="1" applyFill="1" applyBorder="1" applyAlignment="1" applyProtection="1">
      <alignment horizontal="center" vertical="center" wrapText="1"/>
      <protection hidden="1"/>
    </xf>
    <xf numFmtId="0" fontId="65" fillId="17" borderId="7" xfId="0" applyFont="1" applyFill="1" applyBorder="1" applyAlignment="1" applyProtection="1">
      <alignment horizontal="center" vertical="center" wrapText="1"/>
      <protection hidden="1"/>
    </xf>
    <xf numFmtId="0" fontId="65" fillId="17" borderId="8" xfId="0" applyFont="1" applyFill="1" applyBorder="1" applyAlignment="1" applyProtection="1">
      <alignment horizontal="center" vertical="center" wrapText="1"/>
      <protection hidden="1"/>
    </xf>
    <xf numFmtId="0" fontId="40" fillId="18" borderId="6" xfId="0" applyFont="1" applyFill="1" applyBorder="1" applyAlignment="1" applyProtection="1">
      <alignment horizontal="center" vertical="center"/>
      <protection hidden="1"/>
    </xf>
    <xf numFmtId="0" fontId="40" fillId="18" borderId="7" xfId="0" applyFont="1" applyFill="1" applyBorder="1" applyAlignment="1" applyProtection="1">
      <alignment horizontal="center" vertical="center"/>
      <protection hidden="1"/>
    </xf>
    <xf numFmtId="0" fontId="40" fillId="18" borderId="8" xfId="0" applyFont="1" applyFill="1" applyBorder="1" applyAlignment="1" applyProtection="1">
      <alignment horizontal="center" vertical="center"/>
      <protection hidden="1"/>
    </xf>
    <xf numFmtId="0" fontId="40" fillId="0" borderId="33" xfId="0" applyFont="1" applyFill="1" applyBorder="1" applyAlignment="1" applyProtection="1">
      <alignment horizontal="center"/>
      <protection hidden="1"/>
    </xf>
    <xf numFmtId="0" fontId="40" fillId="0" borderId="50" xfId="0" applyFont="1" applyFill="1" applyBorder="1" applyAlignment="1" applyProtection="1">
      <alignment horizontal="center"/>
      <protection hidden="1"/>
    </xf>
    <xf numFmtId="0" fontId="40" fillId="0" borderId="33" xfId="0" applyFont="1" applyFill="1" applyBorder="1" applyAlignment="1" applyProtection="1">
      <alignment horizontal="center" vertical="center"/>
      <protection hidden="1"/>
    </xf>
    <xf numFmtId="0" fontId="40" fillId="0" borderId="61" xfId="0" applyFont="1" applyFill="1" applyBorder="1" applyAlignment="1" applyProtection="1">
      <alignment horizontal="center" vertical="center"/>
      <protection hidden="1"/>
    </xf>
    <xf numFmtId="0" fontId="40" fillId="0" borderId="56" xfId="0" applyFont="1" applyFill="1" applyBorder="1" applyAlignment="1" applyProtection="1">
      <alignment horizontal="center" vertical="center"/>
      <protection hidden="1"/>
    </xf>
    <xf numFmtId="0" fontId="71" fillId="17" borderId="6" xfId="0" applyFont="1" applyFill="1" applyBorder="1" applyAlignment="1" applyProtection="1">
      <alignment horizontal="center" vertical="center"/>
      <protection hidden="1"/>
    </xf>
    <xf numFmtId="0" fontId="71" fillId="17" borderId="8" xfId="0" applyFont="1" applyFill="1" applyBorder="1" applyAlignment="1" applyProtection="1">
      <alignment horizontal="center" vertical="center"/>
      <protection hidden="1"/>
    </xf>
    <xf numFmtId="0" fontId="60" fillId="17" borderId="6" xfId="0" applyFont="1" applyFill="1" applyBorder="1" applyAlignment="1" applyProtection="1">
      <alignment horizontal="center" vertical="center"/>
      <protection hidden="1"/>
    </xf>
    <xf numFmtId="0" fontId="60" fillId="17" borderId="7" xfId="0" applyFont="1" applyFill="1" applyBorder="1" applyAlignment="1" applyProtection="1">
      <alignment horizontal="center" vertical="center"/>
      <protection hidden="1"/>
    </xf>
    <xf numFmtId="0" fontId="60" fillId="17" borderId="8" xfId="0" applyFont="1" applyFill="1" applyBorder="1" applyAlignment="1" applyProtection="1">
      <alignment horizontal="center" vertical="center"/>
      <protection hidden="1"/>
    </xf>
    <xf numFmtId="170" fontId="64" fillId="33" borderId="69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15" xfId="0" applyNumberFormat="1" applyFont="1" applyFill="1" applyBorder="1" applyAlignment="1" applyProtection="1">
      <alignment horizontal="center" vertical="center" wrapText="1"/>
      <protection hidden="1"/>
    </xf>
    <xf numFmtId="170" fontId="64" fillId="33" borderId="55" xfId="0" applyNumberFormat="1" applyFont="1" applyFill="1" applyBorder="1" applyAlignment="1" applyProtection="1">
      <alignment horizontal="center" vertical="center" wrapText="1"/>
      <protection hidden="1"/>
    </xf>
    <xf numFmtId="0" fontId="64" fillId="34" borderId="43" xfId="0" applyFont="1" applyFill="1" applyBorder="1" applyAlignment="1" applyProtection="1">
      <alignment horizontal="center" vertical="center" wrapText="1"/>
      <protection hidden="1"/>
    </xf>
    <xf numFmtId="0" fontId="64" fillId="34" borderId="36" xfId="0" applyFont="1" applyFill="1" applyBorder="1" applyAlignment="1" applyProtection="1">
      <alignment horizontal="center" vertical="center" wrapText="1"/>
      <protection hidden="1"/>
    </xf>
    <xf numFmtId="0" fontId="64" fillId="34" borderId="39" xfId="0" applyFont="1" applyFill="1" applyBorder="1" applyAlignment="1" applyProtection="1">
      <alignment horizontal="center" vertical="center" wrapText="1"/>
      <protection hidden="1"/>
    </xf>
    <xf numFmtId="0" fontId="65" fillId="30" borderId="34" xfId="0" applyFont="1" applyFill="1" applyBorder="1" applyAlignment="1" applyProtection="1">
      <alignment horizontal="center" vertical="center"/>
      <protection hidden="1"/>
    </xf>
    <xf numFmtId="0" fontId="65" fillId="30" borderId="9" xfId="0" applyFont="1" applyFill="1" applyBorder="1" applyAlignment="1" applyProtection="1">
      <alignment horizontal="center" vertical="center"/>
      <protection hidden="1"/>
    </xf>
    <xf numFmtId="0" fontId="40" fillId="34" borderId="34" xfId="0" applyFont="1" applyFill="1" applyBorder="1" applyAlignment="1" applyProtection="1">
      <alignment horizontal="center" vertical="center" wrapText="1"/>
      <protection hidden="1"/>
    </xf>
    <xf numFmtId="0" fontId="0" fillId="34" borderId="34" xfId="0" applyFill="1" applyBorder="1" applyAlignment="1" applyProtection="1">
      <alignment horizontal="center" vertical="center" wrapText="1"/>
      <protection hidden="1"/>
    </xf>
    <xf numFmtId="170" fontId="40" fillId="34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9" xfId="0" applyFill="1" applyBorder="1" applyAlignment="1" applyProtection="1">
      <alignment horizontal="center" vertical="center" wrapText="1"/>
      <protection hidden="1"/>
    </xf>
    <xf numFmtId="0" fontId="40" fillId="34" borderId="36" xfId="0" applyFont="1" applyFill="1" applyBorder="1" applyAlignment="1" applyProtection="1">
      <alignment horizontal="center" vertical="center" wrapText="1"/>
      <protection hidden="1"/>
    </xf>
    <xf numFmtId="0" fontId="0" fillId="34" borderId="36" xfId="0" applyFill="1" applyBorder="1" applyAlignment="1" applyProtection="1">
      <alignment horizontal="center" vertical="center" wrapText="1"/>
      <protection hidden="1"/>
    </xf>
    <xf numFmtId="0" fontId="64" fillId="33" borderId="75" xfId="0" applyFont="1" applyFill="1" applyBorder="1" applyAlignment="1" applyProtection="1">
      <alignment horizontal="center" vertical="center" wrapText="1"/>
      <protection hidden="1"/>
    </xf>
    <xf numFmtId="0" fontId="64" fillId="33" borderId="67" xfId="0" applyFont="1" applyFill="1" applyBorder="1" applyAlignment="1" applyProtection="1">
      <alignment horizontal="center" vertical="center" wrapText="1"/>
      <protection hidden="1"/>
    </xf>
    <xf numFmtId="0" fontId="64" fillId="33" borderId="80" xfId="0" applyFont="1" applyFill="1" applyBorder="1" applyAlignment="1" applyProtection="1">
      <alignment horizontal="center" vertical="center" wrapText="1"/>
      <protection hidden="1"/>
    </xf>
    <xf numFmtId="3" fontId="40" fillId="31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47" xfId="0" applyFill="1" applyBorder="1" applyAlignment="1" applyProtection="1">
      <alignment horizontal="center" vertical="center" wrapText="1"/>
      <protection hidden="1"/>
    </xf>
    <xf numFmtId="170" fontId="40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9" xfId="0" applyFill="1" applyBorder="1" applyAlignment="1" applyProtection="1">
      <alignment horizontal="center" vertical="center" wrapText="1"/>
      <protection hidden="1"/>
    </xf>
    <xf numFmtId="0" fontId="40" fillId="33" borderId="43" xfId="0" applyFont="1" applyFill="1" applyBorder="1" applyAlignment="1" applyProtection="1">
      <alignment horizontal="center" vertical="center" wrapText="1"/>
      <protection hidden="1"/>
    </xf>
    <xf numFmtId="0" fontId="0" fillId="33" borderId="36" xfId="0" applyFill="1" applyBorder="1" applyAlignment="1" applyProtection="1">
      <alignment horizontal="center" vertical="center" wrapText="1"/>
      <protection hidden="1"/>
    </xf>
    <xf numFmtId="170" fontId="64" fillId="34" borderId="42" xfId="0" applyNumberFormat="1" applyFont="1" applyFill="1" applyBorder="1" applyAlignment="1" applyProtection="1">
      <alignment horizontal="center" vertical="center" wrapText="1"/>
      <protection hidden="1"/>
    </xf>
    <xf numFmtId="170" fontId="64" fillId="34" borderId="9" xfId="0" applyNumberFormat="1" applyFont="1" applyFill="1" applyBorder="1" applyAlignment="1" applyProtection="1">
      <alignment horizontal="center" vertical="center" wrapText="1"/>
      <protection hidden="1"/>
    </xf>
    <xf numFmtId="170" fontId="64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65" fillId="30" borderId="10" xfId="0" applyFont="1" applyFill="1" applyBorder="1" applyAlignment="1" applyProtection="1">
      <alignment horizontal="center" vertical="center"/>
      <protection hidden="1"/>
    </xf>
    <xf numFmtId="0" fontId="65" fillId="30" borderId="51" xfId="0" applyFont="1" applyFill="1" applyBorder="1" applyAlignment="1" applyProtection="1">
      <alignment horizontal="center" vertical="center"/>
      <protection hidden="1"/>
    </xf>
    <xf numFmtId="0" fontId="65" fillId="30" borderId="2" xfId="0" applyFont="1" applyFill="1" applyBorder="1" applyAlignment="1" applyProtection="1">
      <alignment horizontal="center" vertical="center"/>
      <protection hidden="1"/>
    </xf>
    <xf numFmtId="0" fontId="65" fillId="30" borderId="4" xfId="0" applyFont="1" applyFill="1" applyBorder="1" applyAlignment="1" applyProtection="1">
      <alignment horizontal="center" vertical="center"/>
      <protection hidden="1"/>
    </xf>
    <xf numFmtId="0" fontId="65" fillId="30" borderId="49" xfId="0" applyFont="1" applyFill="1" applyBorder="1" applyAlignment="1" applyProtection="1">
      <alignment horizontal="center" vertical="center"/>
      <protection hidden="1"/>
    </xf>
    <xf numFmtId="0" fontId="65" fillId="30" borderId="40" xfId="0" applyFont="1" applyFill="1" applyBorder="1" applyAlignment="1" applyProtection="1">
      <alignment horizontal="center" vertical="center"/>
      <protection hidden="1"/>
    </xf>
    <xf numFmtId="0" fontId="40" fillId="34" borderId="27" xfId="0" applyFont="1" applyFill="1" applyBorder="1" applyAlignment="1" applyProtection="1">
      <alignment horizontal="center" vertical="center"/>
      <protection hidden="1"/>
    </xf>
    <xf numFmtId="0" fontId="40" fillId="34" borderId="16" xfId="0" applyFont="1" applyFill="1" applyBorder="1" applyAlignment="1" applyProtection="1">
      <alignment horizontal="center" vertical="center"/>
      <protection hidden="1"/>
    </xf>
    <xf numFmtId="0" fontId="40" fillId="34" borderId="17" xfId="0" applyFont="1" applyFill="1" applyBorder="1" applyAlignment="1" applyProtection="1">
      <alignment horizontal="center" vertical="center"/>
      <protection hidden="1"/>
    </xf>
    <xf numFmtId="170" fontId="40" fillId="34" borderId="12" xfId="0" applyNumberFormat="1" applyFont="1" applyFill="1" applyBorder="1" applyAlignment="1" applyProtection="1">
      <alignment horizontal="center" vertical="center"/>
      <protection hidden="1"/>
    </xf>
    <xf numFmtId="170" fontId="40" fillId="34" borderId="15" xfId="0" applyNumberFormat="1" applyFont="1" applyFill="1" applyBorder="1" applyAlignment="1" applyProtection="1">
      <alignment horizontal="center" vertical="center"/>
      <protection hidden="1"/>
    </xf>
    <xf numFmtId="170" fontId="40" fillId="34" borderId="18" xfId="0" applyNumberFormat="1" applyFont="1" applyFill="1" applyBorder="1" applyAlignment="1" applyProtection="1">
      <alignment horizontal="center" vertical="center"/>
      <protection hidden="1"/>
    </xf>
    <xf numFmtId="170" fontId="40" fillId="34" borderId="55" xfId="0" applyNumberFormat="1" applyFont="1" applyFill="1" applyBorder="1" applyAlignment="1" applyProtection="1">
      <alignment horizontal="center" vertical="center"/>
      <protection hidden="1"/>
    </xf>
    <xf numFmtId="0" fontId="40" fillId="34" borderId="66" xfId="0" applyFont="1" applyFill="1" applyBorder="1" applyAlignment="1" applyProtection="1">
      <alignment horizontal="center" vertical="center"/>
      <protection hidden="1"/>
    </xf>
    <xf numFmtId="0" fontId="40" fillId="34" borderId="62" xfId="0" applyFont="1" applyFill="1" applyBorder="1" applyAlignment="1" applyProtection="1">
      <alignment horizontal="center" vertical="center"/>
      <protection hidden="1"/>
    </xf>
    <xf numFmtId="0" fontId="40" fillId="34" borderId="67" xfId="0" applyFont="1" applyFill="1" applyBorder="1" applyAlignment="1" applyProtection="1">
      <alignment horizontal="center" vertical="center"/>
      <protection hidden="1"/>
    </xf>
    <xf numFmtId="0" fontId="40" fillId="34" borderId="80" xfId="0" applyFont="1" applyFill="1" applyBorder="1" applyAlignment="1" applyProtection="1">
      <alignment horizontal="center" vertical="center"/>
      <protection hidden="1"/>
    </xf>
    <xf numFmtId="0" fontId="64" fillId="34" borderId="38" xfId="0" applyFont="1" applyFill="1" applyBorder="1" applyAlignment="1" applyProtection="1">
      <alignment horizontal="center" vertical="center" wrapText="1"/>
      <protection hidden="1"/>
    </xf>
    <xf numFmtId="14" fontId="40" fillId="34" borderId="62" xfId="0" applyNumberFormat="1" applyFont="1" applyFill="1" applyBorder="1" applyAlignment="1" applyProtection="1">
      <alignment horizontal="center" vertical="center"/>
      <protection hidden="1"/>
    </xf>
    <xf numFmtId="14" fontId="40" fillId="34" borderId="67" xfId="0" applyNumberFormat="1" applyFont="1" applyFill="1" applyBorder="1" applyAlignment="1" applyProtection="1">
      <alignment horizontal="center" vertical="center"/>
      <protection hidden="1"/>
    </xf>
    <xf numFmtId="14" fontId="40" fillId="34" borderId="38" xfId="0" applyNumberFormat="1" applyFont="1" applyFill="1" applyBorder="1" applyAlignment="1" applyProtection="1">
      <alignment horizontal="center" vertical="center"/>
      <protection hidden="1"/>
    </xf>
    <xf numFmtId="0" fontId="40" fillId="31" borderId="73" xfId="0" applyFont="1" applyFill="1" applyBorder="1" applyAlignment="1" applyProtection="1">
      <alignment horizontal="center" vertical="center" textRotation="90" wrapText="1"/>
      <protection hidden="1"/>
    </xf>
    <xf numFmtId="0" fontId="40" fillId="31" borderId="10" xfId="0" applyFont="1" applyFill="1" applyBorder="1" applyAlignment="1" applyProtection="1">
      <alignment horizontal="center" vertical="center" textRotation="90" wrapText="1"/>
      <protection hidden="1"/>
    </xf>
    <xf numFmtId="0" fontId="40" fillId="31" borderId="49" xfId="0" applyFont="1" applyFill="1" applyBorder="1" applyAlignment="1" applyProtection="1">
      <alignment horizontal="center" vertical="center" textRotation="90" wrapText="1"/>
      <protection hidden="1"/>
    </xf>
    <xf numFmtId="0" fontId="19" fillId="31" borderId="2" xfId="0" applyFont="1" applyFill="1" applyBorder="1" applyAlignment="1" applyProtection="1">
      <alignment horizontal="center" vertical="center" textRotation="90" wrapText="1"/>
      <protection hidden="1"/>
    </xf>
    <xf numFmtId="0" fontId="19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31" borderId="49" xfId="0" applyFont="1" applyFill="1" applyBorder="1" applyAlignment="1" applyProtection="1">
      <alignment horizontal="center" vertical="center" textRotation="90" wrapText="1"/>
      <protection hidden="1"/>
    </xf>
    <xf numFmtId="0" fontId="77" fillId="17" borderId="6" xfId="0" applyFont="1" applyFill="1" applyBorder="1" applyAlignment="1" applyProtection="1">
      <alignment horizontal="center" vertical="center"/>
      <protection hidden="1"/>
    </xf>
    <xf numFmtId="0" fontId="77" fillId="17" borderId="7" xfId="0" applyFont="1" applyFill="1" applyBorder="1" applyAlignment="1" applyProtection="1">
      <alignment horizontal="center" vertical="center"/>
      <protection hidden="1"/>
    </xf>
    <xf numFmtId="0" fontId="77" fillId="17" borderId="8" xfId="0" applyFont="1" applyFill="1" applyBorder="1" applyAlignment="1" applyProtection="1">
      <alignment horizontal="center" vertical="center"/>
      <protection hidden="1"/>
    </xf>
    <xf numFmtId="0" fontId="64" fillId="31" borderId="42" xfId="0" applyFont="1" applyFill="1" applyBorder="1" applyAlignment="1" applyProtection="1">
      <alignment horizontal="center" vertical="center"/>
      <protection hidden="1"/>
    </xf>
    <xf numFmtId="0" fontId="64" fillId="31" borderId="9" xfId="0" applyFont="1" applyFill="1" applyBorder="1" applyAlignment="1" applyProtection="1">
      <alignment horizontal="center" vertical="center"/>
      <protection hidden="1"/>
    </xf>
    <xf numFmtId="0" fontId="64" fillId="31" borderId="46" xfId="0" applyFont="1" applyFill="1" applyBorder="1" applyAlignment="1" applyProtection="1">
      <alignment horizontal="center" vertical="center"/>
      <protection hidden="1"/>
    </xf>
    <xf numFmtId="0" fontId="17" fillId="30" borderId="2" xfId="0" applyFont="1" applyFill="1" applyBorder="1" applyAlignment="1" applyProtection="1">
      <alignment horizontal="center" vertical="center" wrapText="1"/>
      <protection hidden="1"/>
    </xf>
    <xf numFmtId="0" fontId="17" fillId="30" borderId="4" xfId="0" applyFont="1" applyFill="1" applyBorder="1" applyAlignment="1" applyProtection="1">
      <alignment horizontal="center" vertical="center" wrapText="1"/>
      <protection hidden="1"/>
    </xf>
    <xf numFmtId="0" fontId="17" fillId="30" borderId="10" xfId="0" applyFont="1" applyFill="1" applyBorder="1" applyAlignment="1" applyProtection="1">
      <alignment horizontal="center" vertical="center" wrapText="1"/>
      <protection hidden="1"/>
    </xf>
    <xf numFmtId="0" fontId="17" fillId="30" borderId="51" xfId="0" applyFont="1" applyFill="1" applyBorder="1" applyAlignment="1" applyProtection="1">
      <alignment horizontal="center" vertical="center" wrapText="1"/>
      <protection hidden="1"/>
    </xf>
    <xf numFmtId="0" fontId="17" fillId="30" borderId="49" xfId="0" applyFont="1" applyFill="1" applyBorder="1" applyAlignment="1" applyProtection="1">
      <alignment horizontal="center" vertical="center" wrapText="1"/>
      <protection hidden="1"/>
    </xf>
    <xf numFmtId="0" fontId="17" fillId="30" borderId="40" xfId="0" applyFont="1" applyFill="1" applyBorder="1" applyAlignment="1" applyProtection="1">
      <alignment horizontal="center" vertical="center" wrapText="1"/>
      <protection hidden="1"/>
    </xf>
    <xf numFmtId="0" fontId="40" fillId="30" borderId="74" xfId="0" applyFont="1" applyFill="1" applyBorder="1" applyAlignment="1" applyProtection="1">
      <alignment horizontal="center" vertical="center" wrapText="1"/>
      <protection hidden="1"/>
    </xf>
    <xf numFmtId="0" fontId="40" fillId="30" borderId="53" xfId="0" applyFont="1" applyFill="1" applyBorder="1" applyAlignment="1" applyProtection="1">
      <alignment horizontal="center" vertical="center" wrapText="1"/>
      <protection hidden="1"/>
    </xf>
    <xf numFmtId="0" fontId="40" fillId="30" borderId="47" xfId="0" applyFont="1" applyFill="1" applyBorder="1" applyAlignment="1" applyProtection="1">
      <alignment horizontal="center" vertical="center" wrapText="1"/>
      <protection hidden="1"/>
    </xf>
    <xf numFmtId="0" fontId="64" fillId="30" borderId="69" xfId="0" applyFont="1" applyFill="1" applyBorder="1" applyAlignment="1" applyProtection="1">
      <alignment horizontal="center" vertical="center" wrapText="1"/>
      <protection hidden="1"/>
    </xf>
    <xf numFmtId="0" fontId="0" fillId="30" borderId="15" xfId="0" applyFill="1" applyBorder="1" applyAlignment="1" applyProtection="1">
      <alignment horizontal="center" vertical="center" wrapText="1"/>
      <protection hidden="1"/>
    </xf>
    <xf numFmtId="0" fontId="0" fillId="30" borderId="55" xfId="0" applyFill="1" applyBorder="1" applyAlignment="1" applyProtection="1">
      <alignment horizontal="center" vertical="center" wrapText="1"/>
      <protection hidden="1"/>
    </xf>
    <xf numFmtId="3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0" borderId="24" xfId="0" applyFill="1" applyBorder="1" applyAlignment="1" applyProtection="1">
      <alignment horizontal="center" vertical="center" wrapText="1"/>
      <protection hidden="1"/>
    </xf>
    <xf numFmtId="0" fontId="40" fillId="34" borderId="41" xfId="0" applyFont="1" applyFill="1" applyBorder="1" applyAlignment="1" applyProtection="1">
      <alignment horizontal="center" vertical="center" wrapText="1"/>
      <protection hidden="1"/>
    </xf>
    <xf numFmtId="3" fontId="40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45" xfId="0" applyFill="1" applyBorder="1" applyAlignment="1" applyProtection="1">
      <alignment horizontal="center" vertical="center" wrapText="1"/>
      <protection hidden="1"/>
    </xf>
    <xf numFmtId="0" fontId="0" fillId="34" borderId="46" xfId="0" applyFill="1" applyBorder="1" applyAlignment="1" applyProtection="1">
      <alignment horizontal="center" vertical="center" wrapText="1"/>
      <protection hidden="1"/>
    </xf>
    <xf numFmtId="0" fontId="65" fillId="30" borderId="3" xfId="0" applyFont="1" applyFill="1" applyBorder="1" applyAlignment="1" applyProtection="1">
      <alignment horizontal="center" vertical="center"/>
      <protection hidden="1"/>
    </xf>
    <xf numFmtId="0" fontId="65" fillId="30" borderId="0" xfId="0" applyFont="1" applyFill="1" applyBorder="1" applyAlignment="1" applyProtection="1">
      <alignment horizontal="center" vertical="center"/>
      <protection hidden="1"/>
    </xf>
    <xf numFmtId="0" fontId="65" fillId="30" borderId="5" xfId="0" applyFont="1" applyFill="1" applyBorder="1" applyAlignment="1" applyProtection="1">
      <alignment horizontal="center" vertical="center"/>
      <protection hidden="1"/>
    </xf>
    <xf numFmtId="0" fontId="40" fillId="31" borderId="72" xfId="0" applyFont="1" applyFill="1" applyBorder="1" applyAlignment="1" applyProtection="1">
      <alignment horizontal="center" vertical="center" textRotation="90" wrapText="1"/>
      <protection hidden="1"/>
    </xf>
    <xf numFmtId="0" fontId="40" fillId="31" borderId="52" xfId="0" applyFont="1" applyFill="1" applyBorder="1" applyAlignment="1" applyProtection="1">
      <alignment horizontal="center" vertical="center" textRotation="90" wrapText="1"/>
      <protection hidden="1"/>
    </xf>
    <xf numFmtId="0" fontId="24" fillId="17" borderId="6" xfId="0" applyFont="1" applyFill="1" applyBorder="1" applyAlignment="1" applyProtection="1">
      <alignment horizontal="center" vertical="center"/>
      <protection hidden="1"/>
    </xf>
    <xf numFmtId="0" fontId="24" fillId="17" borderId="7" xfId="0" applyFont="1" applyFill="1" applyBorder="1" applyAlignment="1" applyProtection="1">
      <alignment horizontal="center" vertical="center"/>
      <protection hidden="1"/>
    </xf>
    <xf numFmtId="0" fontId="24" fillId="17" borderId="8" xfId="0" applyFont="1" applyFill="1" applyBorder="1" applyAlignment="1" applyProtection="1">
      <alignment horizontal="center" vertical="center"/>
      <protection hidden="1"/>
    </xf>
    <xf numFmtId="0" fontId="17" fillId="30" borderId="10" xfId="0" applyFont="1" applyFill="1" applyBorder="1" applyAlignment="1" applyProtection="1">
      <alignment horizontal="center" vertical="center"/>
      <protection hidden="1"/>
    </xf>
    <xf numFmtId="0" fontId="64" fillId="30" borderId="51" xfId="0" applyFont="1" applyFill="1" applyBorder="1" applyAlignment="1" applyProtection="1">
      <alignment horizontal="center" vertical="center"/>
      <protection hidden="1"/>
    </xf>
    <xf numFmtId="0" fontId="64" fillId="30" borderId="10" xfId="0" applyFont="1" applyFill="1" applyBorder="1" applyAlignment="1" applyProtection="1">
      <alignment horizontal="center" vertical="center"/>
      <protection hidden="1"/>
    </xf>
    <xf numFmtId="0" fontId="64" fillId="30" borderId="49" xfId="0" applyFont="1" applyFill="1" applyBorder="1" applyAlignment="1" applyProtection="1">
      <alignment horizontal="center" vertical="center"/>
      <protection hidden="1"/>
    </xf>
    <xf numFmtId="0" fontId="64" fillId="30" borderId="40" xfId="0" applyFont="1" applyFill="1" applyBorder="1" applyAlignment="1" applyProtection="1">
      <alignment horizontal="center" vertical="center"/>
      <protection hidden="1"/>
    </xf>
    <xf numFmtId="0" fontId="64" fillId="30" borderId="15" xfId="0" applyFont="1" applyFill="1" applyBorder="1" applyAlignment="1" applyProtection="1">
      <alignment horizontal="center" vertical="center"/>
      <protection hidden="1"/>
    </xf>
    <xf numFmtId="3" fontId="40" fillId="30" borderId="24" xfId="0" applyNumberFormat="1" applyFont="1" applyFill="1" applyBorder="1" applyAlignment="1" applyProtection="1">
      <alignment horizontal="center" vertical="center" wrapText="1"/>
      <protection hidden="1"/>
    </xf>
    <xf numFmtId="0" fontId="24" fillId="17" borderId="2" xfId="0" applyFont="1" applyFill="1" applyBorder="1" applyAlignment="1" applyProtection="1">
      <alignment horizontal="center" vertical="center"/>
      <protection hidden="1"/>
    </xf>
    <xf numFmtId="0" fontId="24" fillId="17" borderId="3" xfId="0" applyFont="1" applyFill="1" applyBorder="1" applyAlignment="1" applyProtection="1">
      <alignment horizontal="center" vertical="center"/>
      <protection hidden="1"/>
    </xf>
    <xf numFmtId="0" fontId="24" fillId="17" borderId="4" xfId="0" applyFont="1" applyFill="1" applyBorder="1" applyAlignment="1" applyProtection="1">
      <alignment horizontal="center" vertical="center"/>
      <protection hidden="1"/>
    </xf>
    <xf numFmtId="0" fontId="24" fillId="17" borderId="49" xfId="0" applyFont="1" applyFill="1" applyBorder="1" applyAlignment="1" applyProtection="1">
      <alignment horizontal="center" vertical="center"/>
      <protection hidden="1"/>
    </xf>
    <xf numFmtId="0" fontId="24" fillId="17" borderId="5" xfId="0" applyFont="1" applyFill="1" applyBorder="1" applyAlignment="1" applyProtection="1">
      <alignment horizontal="center" vertical="center"/>
      <protection hidden="1"/>
    </xf>
    <xf numFmtId="0" fontId="24" fillId="17" borderId="40" xfId="0" applyFont="1" applyFill="1" applyBorder="1" applyAlignment="1" applyProtection="1">
      <alignment horizontal="center" vertical="center"/>
      <protection hidden="1"/>
    </xf>
    <xf numFmtId="0" fontId="64" fillId="31" borderId="73" xfId="0" applyFont="1" applyFill="1" applyBorder="1" applyAlignment="1" applyProtection="1">
      <alignment horizontal="center" vertical="center" textRotation="90" wrapText="1"/>
      <protection hidden="1"/>
    </xf>
    <xf numFmtId="0" fontId="64" fillId="31" borderId="72" xfId="0" applyFont="1" applyFill="1" applyBorder="1" applyAlignment="1" applyProtection="1">
      <alignment horizontal="center" vertical="center" textRotation="90" wrapText="1"/>
      <protection hidden="1"/>
    </xf>
    <xf numFmtId="0" fontId="64" fillId="31" borderId="10" xfId="0" applyFont="1" applyFill="1" applyBorder="1" applyAlignment="1" applyProtection="1">
      <alignment horizontal="center" vertical="center" textRotation="90" wrapText="1"/>
      <protection hidden="1"/>
    </xf>
    <xf numFmtId="0" fontId="19" fillId="18" borderId="6" xfId="0" applyFont="1" applyFill="1" applyBorder="1" applyAlignment="1" applyProtection="1">
      <alignment horizontal="center" vertical="center" wrapText="1"/>
      <protection hidden="1"/>
    </xf>
    <xf numFmtId="0" fontId="19" fillId="18" borderId="7" xfId="0" applyFont="1" applyFill="1" applyBorder="1" applyAlignment="1" applyProtection="1">
      <alignment horizontal="center" vertical="center" wrapText="1"/>
      <protection hidden="1"/>
    </xf>
    <xf numFmtId="0" fontId="19" fillId="18" borderId="8" xfId="0" applyFont="1" applyFill="1" applyBorder="1" applyAlignment="1" applyProtection="1">
      <alignment horizontal="center" vertical="center" wrapText="1"/>
      <protection hidden="1"/>
    </xf>
    <xf numFmtId="0" fontId="20" fillId="17" borderId="6" xfId="0" applyFont="1" applyFill="1" applyBorder="1" applyAlignment="1" applyProtection="1">
      <alignment horizontal="center" vertical="center" wrapText="1"/>
      <protection hidden="1"/>
    </xf>
    <xf numFmtId="0" fontId="20" fillId="17" borderId="7" xfId="0" applyFont="1" applyFill="1" applyBorder="1" applyAlignment="1" applyProtection="1">
      <alignment horizontal="center" vertical="center" wrapText="1"/>
      <protection hidden="1"/>
    </xf>
    <xf numFmtId="0" fontId="20" fillId="17" borderId="8" xfId="0" applyFont="1" applyFill="1" applyBorder="1" applyAlignment="1" applyProtection="1">
      <alignment horizontal="center" vertical="center" wrapText="1"/>
      <protection hidden="1"/>
    </xf>
    <xf numFmtId="0" fontId="40" fillId="31" borderId="73" xfId="0" applyFont="1" applyFill="1" applyBorder="1" applyAlignment="1" applyProtection="1">
      <alignment horizontal="center" vertical="center" textRotation="90"/>
      <protection hidden="1"/>
    </xf>
    <xf numFmtId="0" fontId="40" fillId="31" borderId="72" xfId="0" applyFont="1" applyFill="1" applyBorder="1" applyAlignment="1" applyProtection="1">
      <alignment horizontal="center" vertical="center" textRotation="90"/>
      <protection hidden="1"/>
    </xf>
    <xf numFmtId="0" fontId="40" fillId="31" borderId="52" xfId="0" applyFont="1" applyFill="1" applyBorder="1" applyAlignment="1" applyProtection="1">
      <alignment horizontal="center" vertical="center" textRotation="90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7" fillId="30" borderId="2" xfId="0" applyFont="1" applyFill="1" applyBorder="1" applyAlignment="1" applyProtection="1">
      <alignment horizontal="center" vertical="center"/>
      <protection hidden="1"/>
    </xf>
    <xf numFmtId="0" fontId="17" fillId="30" borderId="3" xfId="0" applyFont="1" applyFill="1" applyBorder="1" applyAlignment="1" applyProtection="1">
      <alignment horizontal="center" vertical="center"/>
      <protection hidden="1"/>
    </xf>
    <xf numFmtId="0" fontId="17" fillId="30" borderId="0" xfId="0" applyFont="1" applyFill="1" applyBorder="1" applyAlignment="1" applyProtection="1">
      <alignment horizontal="center" vertical="center"/>
      <protection hidden="1"/>
    </xf>
    <xf numFmtId="0" fontId="17" fillId="30" borderId="49" xfId="0" applyFont="1" applyFill="1" applyBorder="1" applyAlignment="1" applyProtection="1">
      <alignment horizontal="center" vertical="center"/>
      <protection hidden="1"/>
    </xf>
    <xf numFmtId="0" fontId="17" fillId="30" borderId="5" xfId="0" applyFont="1" applyFill="1" applyBorder="1" applyAlignment="1" applyProtection="1">
      <alignment horizontal="center" vertical="center"/>
      <protection hidden="1"/>
    </xf>
    <xf numFmtId="0" fontId="40" fillId="30" borderId="69" xfId="0" applyFont="1" applyFill="1" applyBorder="1" applyAlignment="1" applyProtection="1">
      <alignment horizontal="center" vertical="center" wrapText="1"/>
      <protection hidden="1"/>
    </xf>
    <xf numFmtId="0" fontId="24" fillId="17" borderId="6" xfId="0" applyFont="1" applyFill="1" applyBorder="1" applyAlignment="1" applyProtection="1">
      <alignment horizontal="center" vertical="center" wrapText="1"/>
      <protection hidden="1"/>
    </xf>
    <xf numFmtId="0" fontId="24" fillId="17" borderId="7" xfId="0" applyFont="1" applyFill="1" applyBorder="1" applyAlignment="1" applyProtection="1">
      <alignment horizontal="center" vertical="center" wrapText="1"/>
      <protection hidden="1"/>
    </xf>
    <xf numFmtId="0" fontId="24" fillId="17" borderId="8" xfId="0" applyFont="1" applyFill="1" applyBorder="1" applyAlignment="1" applyProtection="1">
      <alignment horizontal="center" vertical="center" wrapText="1"/>
      <protection hidden="1"/>
    </xf>
    <xf numFmtId="0" fontId="24" fillId="17" borderId="2" xfId="0" applyFont="1" applyFill="1" applyBorder="1" applyAlignment="1" applyProtection="1">
      <alignment horizontal="center" vertical="center" wrapText="1"/>
      <protection hidden="1"/>
    </xf>
    <xf numFmtId="0" fontId="24" fillId="17" borderId="3" xfId="0" applyFont="1" applyFill="1" applyBorder="1" applyAlignment="1" applyProtection="1">
      <alignment horizontal="center" vertical="center" wrapText="1"/>
      <protection hidden="1"/>
    </xf>
    <xf numFmtId="0" fontId="24" fillId="17" borderId="4" xfId="0" applyFont="1" applyFill="1" applyBorder="1" applyAlignment="1" applyProtection="1">
      <alignment horizontal="center" vertical="center" wrapText="1"/>
      <protection hidden="1"/>
    </xf>
    <xf numFmtId="0" fontId="24" fillId="17" borderId="49" xfId="0" applyFont="1" applyFill="1" applyBorder="1" applyAlignment="1" applyProtection="1">
      <alignment horizontal="center" vertical="center" wrapText="1"/>
      <protection hidden="1"/>
    </xf>
    <xf numFmtId="0" fontId="24" fillId="17" borderId="5" xfId="0" applyFont="1" applyFill="1" applyBorder="1" applyAlignment="1" applyProtection="1">
      <alignment horizontal="center" vertical="center" wrapText="1"/>
      <protection hidden="1"/>
    </xf>
    <xf numFmtId="0" fontId="24" fillId="17" borderId="40" xfId="0" applyFont="1" applyFill="1" applyBorder="1" applyAlignment="1" applyProtection="1">
      <alignment horizontal="center" vertical="center" wrapText="1"/>
      <protection hidden="1"/>
    </xf>
    <xf numFmtId="0" fontId="17" fillId="31" borderId="73" xfId="0" applyFont="1" applyFill="1" applyBorder="1" applyAlignment="1" applyProtection="1">
      <alignment horizontal="center" vertical="center" textRotation="90" wrapText="1"/>
      <protection hidden="1"/>
    </xf>
    <xf numFmtId="0" fontId="17" fillId="31" borderId="72" xfId="0" applyFont="1" applyFill="1" applyBorder="1" applyAlignment="1" applyProtection="1">
      <alignment horizontal="center" vertical="center" textRotation="90" wrapText="1"/>
      <protection hidden="1"/>
    </xf>
    <xf numFmtId="0" fontId="17" fillId="31" borderId="52" xfId="0" applyFont="1" applyFill="1" applyBorder="1" applyAlignment="1" applyProtection="1">
      <alignment horizontal="center" vertical="center" textRotation="90" wrapText="1"/>
      <protection hidden="1"/>
    </xf>
    <xf numFmtId="0" fontId="64" fillId="31" borderId="30" xfId="0" applyFont="1" applyFill="1" applyBorder="1" applyAlignment="1" applyProtection="1">
      <alignment horizontal="center" vertical="center"/>
      <protection hidden="1"/>
    </xf>
    <xf numFmtId="0" fontId="64" fillId="31" borderId="24" xfId="0" applyFont="1" applyFill="1" applyBorder="1" applyAlignment="1" applyProtection="1">
      <alignment horizontal="center" vertical="center"/>
      <protection hidden="1"/>
    </xf>
    <xf numFmtId="0" fontId="64" fillId="31" borderId="48" xfId="0" applyFont="1" applyFill="1" applyBorder="1" applyAlignment="1" applyProtection="1">
      <alignment horizontal="center" vertical="center"/>
      <protection hidden="1"/>
    </xf>
    <xf numFmtId="170" fontId="40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40" fillId="34" borderId="43" xfId="0" applyFont="1" applyFill="1" applyBorder="1" applyAlignment="1" applyProtection="1">
      <alignment horizontal="center" vertical="center" wrapText="1"/>
      <protection hidden="1"/>
    </xf>
    <xf numFmtId="0" fontId="17" fillId="30" borderId="41" xfId="0" applyFont="1" applyFill="1" applyBorder="1" applyAlignment="1" applyProtection="1">
      <alignment horizontal="center" vertical="center"/>
      <protection hidden="1"/>
    </xf>
    <xf numFmtId="0" fontId="64" fillId="30" borderId="42" xfId="0" applyFont="1" applyFill="1" applyBorder="1" applyAlignment="1" applyProtection="1">
      <alignment horizontal="center" vertical="center"/>
      <protection hidden="1"/>
    </xf>
    <xf numFmtId="0" fontId="64" fillId="30" borderId="34" xfId="0" applyFont="1" applyFill="1" applyBorder="1" applyAlignment="1" applyProtection="1">
      <alignment horizontal="center" vertical="center"/>
      <protection hidden="1"/>
    </xf>
    <xf numFmtId="0" fontId="64" fillId="30" borderId="9" xfId="0" applyFont="1" applyFill="1" applyBorder="1" applyAlignment="1" applyProtection="1">
      <alignment horizontal="center" vertical="center"/>
      <protection hidden="1"/>
    </xf>
    <xf numFmtId="0" fontId="40" fillId="31" borderId="69" xfId="0" applyFont="1" applyFill="1" applyBorder="1" applyAlignment="1" applyProtection="1">
      <alignment horizontal="center" vertical="center" wrapText="1"/>
      <protection hidden="1"/>
    </xf>
    <xf numFmtId="0" fontId="0" fillId="31" borderId="15" xfId="0" applyFill="1" applyBorder="1" applyAlignment="1" applyProtection="1">
      <alignment horizontal="center" vertical="center" wrapText="1"/>
      <protection hidden="1"/>
    </xf>
    <xf numFmtId="0" fontId="0" fillId="31" borderId="55" xfId="0" applyFill="1" applyBorder="1" applyAlignment="1" applyProtection="1">
      <alignment horizontal="center" vertical="center" wrapText="1"/>
      <protection hidden="1"/>
    </xf>
    <xf numFmtId="0" fontId="64" fillId="30" borderId="46" xfId="0" applyFont="1" applyFill="1" applyBorder="1" applyAlignment="1" applyProtection="1">
      <alignment horizontal="center" vertical="center"/>
      <protection hidden="1"/>
    </xf>
    <xf numFmtId="49" fontId="40" fillId="30" borderId="30" xfId="0" applyNumberFormat="1" applyFont="1" applyFill="1" applyBorder="1" applyAlignment="1" applyProtection="1">
      <alignment horizontal="center" vertical="center" wrapText="1"/>
      <protection hidden="1"/>
    </xf>
    <xf numFmtId="0" fontId="65" fillId="30" borderId="45" xfId="0" applyFont="1" applyFill="1" applyBorder="1" applyAlignment="1" applyProtection="1">
      <alignment horizontal="center" vertical="center"/>
      <protection hidden="1"/>
    </xf>
    <xf numFmtId="0" fontId="65" fillId="30" borderId="46" xfId="0" applyFont="1" applyFill="1" applyBorder="1" applyAlignment="1" applyProtection="1">
      <alignment horizontal="center" vertical="center"/>
      <protection hidden="1"/>
    </xf>
    <xf numFmtId="1" fontId="40" fillId="3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34" borderId="34" xfId="0" applyNumberFormat="1" applyFill="1" applyBorder="1" applyAlignment="1" applyProtection="1">
      <alignment horizontal="center" vertical="center" wrapText="1"/>
      <protection hidden="1"/>
    </xf>
    <xf numFmtId="1" fontId="0" fillId="34" borderId="45" xfId="0" applyNumberFormat="1" applyFill="1" applyBorder="1" applyAlignment="1" applyProtection="1">
      <alignment horizontal="center" vertical="center" wrapText="1"/>
      <protection hidden="1"/>
    </xf>
    <xf numFmtId="170" fontId="40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39" xfId="0" applyFill="1" applyBorder="1" applyAlignment="1" applyProtection="1">
      <alignment horizontal="center" vertical="center" wrapText="1"/>
      <protection hidden="1"/>
    </xf>
    <xf numFmtId="14" fontId="40" fillId="34" borderId="36" xfId="0" applyNumberFormat="1" applyFont="1" applyFill="1" applyBorder="1" applyAlignment="1" applyProtection="1">
      <alignment horizontal="center" vertical="center" wrapText="1"/>
      <protection hidden="1"/>
    </xf>
    <xf numFmtId="170" fontId="40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39" xfId="0" applyFill="1" applyBorder="1" applyAlignment="1" applyProtection="1">
      <alignment horizontal="center" vertical="center" wrapText="1"/>
      <protection hidden="1"/>
    </xf>
    <xf numFmtId="0" fontId="40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0" fontId="0" fillId="33" borderId="45" xfId="0" applyFill="1" applyBorder="1" applyAlignment="1" applyProtection="1">
      <alignment horizontal="center" vertical="center" wrapText="1"/>
      <protection hidden="1"/>
    </xf>
    <xf numFmtId="170" fontId="40" fillId="33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1" fontId="40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40" fillId="33" borderId="36" xfId="0" applyFont="1" applyFill="1" applyBorder="1" applyAlignment="1" applyProtection="1">
      <alignment horizontal="center" vertical="center" wrapText="1"/>
      <protection hidden="1"/>
    </xf>
    <xf numFmtId="0" fontId="7" fillId="18" borderId="19" xfId="0" applyFont="1" applyFill="1" applyBorder="1" applyAlignment="1" applyProtection="1">
      <alignment horizontal="center" vertical="center" wrapText="1"/>
      <protection hidden="1"/>
    </xf>
    <xf numFmtId="0" fontId="7" fillId="18" borderId="20" xfId="0" applyFont="1" applyFill="1" applyBorder="1" applyAlignment="1" applyProtection="1">
      <alignment horizontal="center" vertical="center" wrapText="1"/>
      <protection hidden="1"/>
    </xf>
    <xf numFmtId="0" fontId="38" fillId="17" borderId="19" xfId="0" applyFont="1" applyFill="1" applyBorder="1" applyAlignment="1" applyProtection="1">
      <alignment horizontal="center" wrapText="1"/>
      <protection hidden="1"/>
    </xf>
    <xf numFmtId="0" fontId="38" fillId="17" borderId="20" xfId="0" applyFont="1" applyFill="1" applyBorder="1" applyAlignment="1" applyProtection="1">
      <alignment horizontal="center" wrapText="1"/>
      <protection hidden="1"/>
    </xf>
    <xf numFmtId="14" fontId="40" fillId="31" borderId="61" xfId="0" applyNumberFormat="1" applyFont="1" applyFill="1" applyBorder="1" applyAlignment="1" applyProtection="1">
      <alignment horizontal="center" vertical="center"/>
      <protection hidden="1"/>
    </xf>
    <xf numFmtId="14" fontId="40" fillId="31" borderId="23" xfId="0" applyNumberFormat="1" applyFont="1" applyFill="1" applyBorder="1" applyAlignment="1" applyProtection="1">
      <alignment horizontal="center" vertical="center"/>
      <protection hidden="1"/>
    </xf>
    <xf numFmtId="14" fontId="40" fillId="31" borderId="64" xfId="0" applyNumberFormat="1" applyFont="1" applyFill="1" applyBorder="1" applyAlignment="1" applyProtection="1">
      <alignment horizontal="center" vertical="center"/>
      <protection hidden="1"/>
    </xf>
    <xf numFmtId="14" fontId="40" fillId="31" borderId="33" xfId="0" applyNumberFormat="1" applyFont="1" applyFill="1" applyBorder="1" applyAlignment="1" applyProtection="1">
      <alignment horizontal="center" vertical="center"/>
      <protection hidden="1"/>
    </xf>
    <xf numFmtId="14" fontId="40" fillId="31" borderId="11" xfId="0" applyNumberFormat="1" applyFont="1" applyFill="1" applyBorder="1" applyAlignment="1" applyProtection="1">
      <alignment horizontal="center" vertical="center"/>
      <protection hidden="1"/>
    </xf>
    <xf numFmtId="14" fontId="40" fillId="31" borderId="57" xfId="0" applyNumberFormat="1" applyFont="1" applyFill="1" applyBorder="1" applyAlignment="1" applyProtection="1">
      <alignment horizontal="center" vertical="center"/>
      <protection hidden="1"/>
    </xf>
    <xf numFmtId="0" fontId="40" fillId="33" borderId="41" xfId="0" applyFont="1" applyFill="1" applyBorder="1" applyAlignment="1" applyProtection="1">
      <alignment horizontal="center" vertical="center" wrapText="1"/>
      <protection hidden="1"/>
    </xf>
    <xf numFmtId="0" fontId="64" fillId="27" borderId="72" xfId="0" applyFont="1" applyFill="1" applyBorder="1" applyAlignment="1" applyProtection="1">
      <alignment horizontal="center" vertical="center"/>
      <protection hidden="1"/>
    </xf>
    <xf numFmtId="0" fontId="19" fillId="27" borderId="10" xfId="0" applyFont="1" applyFill="1" applyBorder="1" applyAlignment="1" applyProtection="1">
      <alignment horizontal="center" vertical="center" wrapText="1"/>
      <protection hidden="1"/>
    </xf>
    <xf numFmtId="0" fontId="19" fillId="27" borderId="0" xfId="0" applyFont="1" applyFill="1" applyBorder="1" applyAlignment="1" applyProtection="1">
      <alignment horizontal="center" vertical="center" wrapText="1"/>
      <protection hidden="1"/>
    </xf>
    <xf numFmtId="0" fontId="19" fillId="27" borderId="51" xfId="0" applyFont="1" applyFill="1" applyBorder="1" applyAlignment="1" applyProtection="1">
      <alignment horizontal="center" vertical="center" wrapText="1"/>
      <protection hidden="1"/>
    </xf>
    <xf numFmtId="0" fontId="19" fillId="27" borderId="17" xfId="0" applyFont="1" applyFill="1" applyBorder="1" applyAlignment="1" applyProtection="1">
      <alignment horizontal="center" vertical="center" wrapText="1"/>
      <protection hidden="1"/>
    </xf>
    <xf numFmtId="0" fontId="19" fillId="27" borderId="27" xfId="0" applyFont="1" applyFill="1" applyBorder="1" applyAlignment="1" applyProtection="1">
      <alignment horizontal="center" vertical="center" wrapText="1"/>
      <protection hidden="1"/>
    </xf>
    <xf numFmtId="0" fontId="19" fillId="27" borderId="38" xfId="0" applyFont="1" applyFill="1" applyBorder="1" applyAlignment="1" applyProtection="1">
      <alignment horizontal="center" vertical="center" wrapText="1"/>
      <protection hidden="1"/>
    </xf>
    <xf numFmtId="0" fontId="19" fillId="27" borderId="62" xfId="0" applyFont="1" applyFill="1" applyBorder="1" applyAlignment="1" applyProtection="1">
      <alignment horizontal="center" vertical="center" wrapText="1"/>
      <protection hidden="1"/>
    </xf>
    <xf numFmtId="170" fontId="64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46" fillId="4" borderId="6" xfId="0" applyFont="1" applyFill="1" applyBorder="1" applyAlignment="1" applyProtection="1">
      <alignment horizontal="center" vertical="center" wrapText="1"/>
      <protection hidden="1"/>
    </xf>
    <xf numFmtId="0" fontId="46" fillId="4" borderId="7" xfId="0" applyFont="1" applyFill="1" applyBorder="1" applyAlignment="1" applyProtection="1">
      <alignment horizontal="center" vertical="center" wrapText="1"/>
      <protection hidden="1"/>
    </xf>
    <xf numFmtId="0" fontId="46" fillId="4" borderId="8" xfId="0" applyFont="1" applyFill="1" applyBorder="1" applyAlignment="1" applyProtection="1">
      <alignment horizontal="center" vertical="center" wrapText="1"/>
      <protection hidden="1"/>
    </xf>
    <xf numFmtId="0" fontId="1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21" fillId="2" borderId="45" xfId="0" applyFont="1" applyFill="1" applyBorder="1" applyAlignment="1" applyProtection="1">
      <alignment horizontal="center" vertical="center" wrapText="1"/>
      <protection hidden="1"/>
    </xf>
    <xf numFmtId="0" fontId="21" fillId="2" borderId="57" xfId="0" applyFont="1" applyFill="1" applyBorder="1" applyAlignment="1" applyProtection="1">
      <alignment horizontal="center" vertical="center" wrapText="1"/>
      <protection hidden="1"/>
    </xf>
    <xf numFmtId="0" fontId="47" fillId="5" borderId="41" xfId="0" applyFont="1" applyFill="1" applyBorder="1" applyAlignment="1" applyProtection="1">
      <alignment horizontal="center" vertical="center" wrapText="1"/>
      <protection hidden="1"/>
    </xf>
    <xf numFmtId="0" fontId="47" fillId="5" borderId="43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justify" vertical="center" wrapText="1"/>
      <protection hidden="1"/>
    </xf>
    <xf numFmtId="0" fontId="31" fillId="5" borderId="14" xfId="0" applyFont="1" applyFill="1" applyBorder="1" applyAlignment="1" applyProtection="1">
      <alignment horizontal="justify" vertical="center" wrapText="1"/>
      <protection hidden="1"/>
    </xf>
    <xf numFmtId="0" fontId="46" fillId="8" borderId="6" xfId="0" applyFont="1" applyFill="1" applyBorder="1" applyAlignment="1" applyProtection="1">
      <alignment horizontal="center" vertical="center" wrapText="1"/>
      <protection hidden="1"/>
    </xf>
    <xf numFmtId="0" fontId="46" fillId="8" borderId="7" xfId="0" applyFont="1" applyFill="1" applyBorder="1" applyAlignment="1" applyProtection="1">
      <alignment horizontal="center" vertical="center" wrapText="1"/>
      <protection hidden="1"/>
    </xf>
    <xf numFmtId="0" fontId="46" fillId="8" borderId="8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left" vertical="center" wrapText="1"/>
      <protection hidden="1"/>
    </xf>
    <xf numFmtId="0" fontId="7" fillId="5" borderId="42" xfId="0" applyFont="1" applyFill="1" applyBorder="1" applyAlignment="1" applyProtection="1">
      <alignment horizontal="left" vertical="center" wrapText="1"/>
      <protection hidden="1"/>
    </xf>
    <xf numFmtId="0" fontId="7" fillId="5" borderId="34" xfId="0" applyFont="1" applyFill="1" applyBorder="1" applyAlignment="1" applyProtection="1">
      <alignment horizontal="left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7" fillId="5" borderId="45" xfId="0" applyFont="1" applyFill="1" applyBorder="1" applyAlignment="1" applyProtection="1">
      <alignment horizontal="left" vertical="center" wrapText="1"/>
      <protection hidden="1"/>
    </xf>
    <xf numFmtId="0" fontId="7" fillId="5" borderId="46" xfId="0" applyFont="1" applyFill="1" applyBorder="1" applyAlignment="1" applyProtection="1">
      <alignment horizontal="left" vertical="center" wrapText="1"/>
      <protection hidden="1"/>
    </xf>
    <xf numFmtId="167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167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0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68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1" xfId="0" applyNumberFormat="1" applyFont="1" applyFill="1" applyBorder="1" applyAlignment="1" applyProtection="1">
      <alignment horizontal="center" vertical="center" wrapText="1"/>
      <protection hidden="1"/>
    </xf>
    <xf numFmtId="0" fontId="73" fillId="14" borderId="6" xfId="0" applyFont="1" applyFill="1" applyBorder="1" applyAlignment="1" applyProtection="1">
      <alignment horizontal="center" vertical="center" wrapText="1"/>
      <protection hidden="1"/>
    </xf>
    <xf numFmtId="0" fontId="73" fillId="14" borderId="7" xfId="0" applyFont="1" applyFill="1" applyBorder="1" applyAlignment="1" applyProtection="1">
      <alignment horizontal="center" vertical="center" wrapText="1"/>
      <protection hidden="1"/>
    </xf>
    <xf numFmtId="0" fontId="73" fillId="14" borderId="8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left" vertical="center" wrapText="1"/>
      <protection hidden="1"/>
    </xf>
    <xf numFmtId="0" fontId="31" fillId="5" borderId="14" xfId="0" applyFont="1" applyFill="1" applyBorder="1" applyAlignment="1" applyProtection="1">
      <alignment horizontal="left" vertical="center" wrapText="1"/>
      <protection hidden="1"/>
    </xf>
    <xf numFmtId="0" fontId="24" fillId="4" borderId="6" xfId="0" applyFont="1" applyFill="1" applyBorder="1" applyAlignment="1" applyProtection="1">
      <alignment horizontal="center" vertical="center" wrapText="1"/>
      <protection hidden="1"/>
    </xf>
    <xf numFmtId="0" fontId="24" fillId="4" borderId="7" xfId="0" applyFont="1" applyFill="1" applyBorder="1" applyAlignment="1" applyProtection="1">
      <alignment horizontal="center" vertical="center" wrapText="1"/>
      <protection hidden="1"/>
    </xf>
    <xf numFmtId="0" fontId="24" fillId="4" borderId="8" xfId="0" applyFont="1" applyFill="1" applyBorder="1" applyAlignment="1" applyProtection="1">
      <alignment horizontal="center" vertical="center" wrapText="1"/>
      <protection hidden="1"/>
    </xf>
    <xf numFmtId="0" fontId="1" fillId="5" borderId="60" xfId="0" applyFont="1" applyFill="1" applyBorder="1" applyAlignment="1" applyProtection="1">
      <alignment horizontal="center" vertical="center" wrapText="1"/>
      <protection hidden="1"/>
    </xf>
    <xf numFmtId="0" fontId="1" fillId="5" borderId="50" xfId="0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center" vertical="top" wrapText="1"/>
      <protection hidden="1"/>
    </xf>
    <xf numFmtId="0" fontId="31" fillId="5" borderId="14" xfId="0" applyFont="1" applyFill="1" applyBorder="1" applyAlignment="1" applyProtection="1">
      <alignment horizontal="center" vertical="top" wrapText="1"/>
      <protection hidden="1"/>
    </xf>
    <xf numFmtId="0" fontId="40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37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3" fillId="5" borderId="37" xfId="0" applyFont="1" applyFill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36" fillId="4" borderId="37" xfId="0" applyFont="1" applyFill="1" applyBorder="1" applyAlignment="1" applyProtection="1">
      <alignment horizontal="center" vertical="center" wrapText="1"/>
      <protection hidden="1"/>
    </xf>
    <xf numFmtId="0" fontId="36" fillId="4" borderId="23" xfId="0" applyFont="1" applyFill="1" applyBorder="1" applyAlignment="1" applyProtection="1">
      <alignment horizontal="center" vertical="center" wrapText="1"/>
      <protection hidden="1"/>
    </xf>
    <xf numFmtId="0" fontId="36" fillId="4" borderId="14" xfId="0" applyFont="1" applyFill="1" applyBorder="1" applyAlignment="1" applyProtection="1">
      <alignment horizontal="center" vertical="center" wrapText="1"/>
      <protection hidden="1"/>
    </xf>
    <xf numFmtId="0" fontId="20" fillId="4" borderId="58" xfId="0" applyFont="1" applyFill="1" applyBorder="1" applyAlignment="1" applyProtection="1">
      <alignment horizontal="center" vertical="center" wrapText="1"/>
      <protection hidden="1"/>
    </xf>
    <xf numFmtId="0" fontId="20" fillId="4" borderId="64" xfId="0" applyFont="1" applyFill="1" applyBorder="1" applyAlignment="1" applyProtection="1">
      <alignment horizontal="center" vertical="center" wrapText="1"/>
      <protection hidden="1"/>
    </xf>
    <xf numFmtId="0" fontId="20" fillId="4" borderId="59" xfId="0" applyFont="1" applyFill="1" applyBorder="1" applyAlignment="1" applyProtection="1">
      <alignment horizontal="center" vertical="center" wrapText="1"/>
      <protection hidden="1"/>
    </xf>
    <xf numFmtId="0" fontId="5" fillId="5" borderId="73" xfId="0" applyFont="1" applyFill="1" applyBorder="1" applyAlignment="1" applyProtection="1">
      <alignment horizontal="center" vertical="center" wrapText="1"/>
      <protection hidden="1"/>
    </xf>
    <xf numFmtId="0" fontId="5" fillId="5" borderId="52" xfId="0" applyFont="1" applyFill="1" applyBorder="1" applyAlignment="1" applyProtection="1">
      <alignment horizontal="center" vertical="center" wrapText="1"/>
      <protection hidden="1"/>
    </xf>
    <xf numFmtId="0" fontId="7" fillId="5" borderId="37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72" xfId="0" applyFont="1" applyFill="1" applyBorder="1" applyAlignment="1" applyProtection="1">
      <alignment horizontal="center" vertical="center" wrapTex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52" xfId="0" applyFont="1" applyFill="1" applyBorder="1" applyAlignment="1" applyProtection="1">
      <alignment horizontal="center" vertical="center" wrapText="1"/>
      <protection hidden="1"/>
    </xf>
    <xf numFmtId="0" fontId="4" fillId="5" borderId="6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7" fillId="20" borderId="5" xfId="0" applyFont="1" applyFill="1" applyBorder="1" applyAlignment="1" applyProtection="1">
      <alignment horizontal="center" vertical="center" wrapText="1"/>
      <protection hidden="1"/>
    </xf>
    <xf numFmtId="0" fontId="7" fillId="20" borderId="66" xfId="0" applyFont="1" applyFill="1" applyBorder="1" applyAlignment="1" applyProtection="1">
      <alignment horizontal="center" vertical="center" wrapText="1"/>
      <protection hidden="1"/>
    </xf>
    <xf numFmtId="0" fontId="7" fillId="16" borderId="32" xfId="0" applyFont="1" applyFill="1" applyBorder="1" applyAlignment="1" applyProtection="1">
      <alignment horizontal="center" vertical="center" wrapText="1"/>
      <protection hidden="1"/>
    </xf>
    <xf numFmtId="0" fontId="7" fillId="16" borderId="18" xfId="0" applyFont="1" applyFill="1" applyBorder="1" applyAlignment="1" applyProtection="1">
      <alignment horizontal="center" vertical="center" wrapText="1"/>
      <protection hidden="1"/>
    </xf>
    <xf numFmtId="0" fontId="1" fillId="16" borderId="6" xfId="0" applyFont="1" applyFill="1" applyBorder="1" applyAlignment="1" applyProtection="1">
      <alignment horizontal="center" vertical="center" wrapText="1"/>
      <protection hidden="1"/>
    </xf>
    <xf numFmtId="0" fontId="1" fillId="16" borderId="21" xfId="0" applyFont="1" applyFill="1" applyBorder="1" applyAlignment="1" applyProtection="1">
      <alignment horizontal="center" vertical="center" wrapText="1"/>
      <protection hidden="1"/>
    </xf>
    <xf numFmtId="0" fontId="21" fillId="6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6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6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16" borderId="45" xfId="0" applyFont="1" applyFill="1" applyBorder="1" applyAlignment="1" applyProtection="1">
      <alignment horizontal="center" vertical="center" wrapText="1"/>
      <protection hidden="1"/>
    </xf>
    <xf numFmtId="0" fontId="3" fillId="16" borderId="46" xfId="0" applyFont="1" applyFill="1" applyBorder="1" applyAlignment="1" applyProtection="1">
      <alignment horizontal="center" vertical="center" wrapText="1"/>
      <protection hidden="1"/>
    </xf>
    <xf numFmtId="0" fontId="59" fillId="25" borderId="6" xfId="0" applyFont="1" applyFill="1" applyBorder="1" applyAlignment="1" applyProtection="1">
      <alignment horizontal="center" vertical="center" wrapText="1"/>
      <protection hidden="1"/>
    </xf>
    <xf numFmtId="0" fontId="59" fillId="25" borderId="7" xfId="0" applyFont="1" applyFill="1" applyBorder="1" applyAlignment="1" applyProtection="1">
      <alignment horizontal="center" vertical="center" wrapText="1"/>
      <protection hidden="1"/>
    </xf>
    <xf numFmtId="0" fontId="59" fillId="25" borderId="8" xfId="0" applyFont="1" applyFill="1" applyBorder="1" applyAlignment="1" applyProtection="1">
      <alignment horizontal="center" vertical="center" wrapText="1"/>
      <protection hidden="1"/>
    </xf>
    <xf numFmtId="0" fontId="24" fillId="25" borderId="6" xfId="0" applyFont="1" applyFill="1" applyBorder="1" applyAlignment="1" applyProtection="1">
      <alignment horizontal="center" vertical="center" wrapText="1"/>
      <protection hidden="1"/>
    </xf>
    <xf numFmtId="0" fontId="24" fillId="25" borderId="7" xfId="0" applyFont="1" applyFill="1" applyBorder="1" applyAlignment="1" applyProtection="1">
      <alignment horizontal="center" vertical="center" wrapText="1"/>
      <protection hidden="1"/>
    </xf>
    <xf numFmtId="0" fontId="6" fillId="21" borderId="60" xfId="0" applyFont="1" applyFill="1" applyBorder="1" applyAlignment="1" applyProtection="1">
      <alignment horizontal="center" vertical="center" wrapText="1"/>
      <protection hidden="1"/>
    </xf>
    <xf numFmtId="0" fontId="6" fillId="21" borderId="61" xfId="0" applyFont="1" applyFill="1" applyBorder="1" applyAlignment="1" applyProtection="1">
      <alignment horizontal="center" vertical="center" wrapText="1"/>
      <protection hidden="1"/>
    </xf>
    <xf numFmtId="0" fontId="6" fillId="21" borderId="50" xfId="0" applyFont="1" applyFill="1" applyBorder="1" applyAlignment="1" applyProtection="1">
      <alignment horizontal="center" vertical="center" wrapText="1"/>
      <protection hidden="1"/>
    </xf>
    <xf numFmtId="0" fontId="6" fillId="16" borderId="33" xfId="0" applyFont="1" applyFill="1" applyBorder="1" applyAlignment="1" applyProtection="1">
      <alignment horizontal="center" vertical="center" wrapText="1"/>
      <protection hidden="1"/>
    </xf>
    <xf numFmtId="0" fontId="6" fillId="16" borderId="61" xfId="0" applyFont="1" applyFill="1" applyBorder="1" applyAlignment="1" applyProtection="1">
      <alignment horizontal="center" vertical="center" wrapText="1"/>
      <protection hidden="1"/>
    </xf>
    <xf numFmtId="0" fontId="6" fillId="16" borderId="50" xfId="0" applyFont="1" applyFill="1" applyBorder="1" applyAlignment="1" applyProtection="1">
      <alignment horizontal="center" vertical="center" wrapText="1"/>
      <protection hidden="1"/>
    </xf>
    <xf numFmtId="0" fontId="3" fillId="16" borderId="34" xfId="0" applyFont="1" applyFill="1" applyBorder="1" applyAlignment="1" applyProtection="1">
      <alignment horizontal="center" vertical="center" wrapText="1"/>
      <protection hidden="1"/>
    </xf>
    <xf numFmtId="0" fontId="3" fillId="16" borderId="9" xfId="0" applyFont="1" applyFill="1" applyBorder="1" applyAlignment="1" applyProtection="1">
      <alignment horizontal="center" vertical="center" wrapText="1"/>
      <protection hidden="1"/>
    </xf>
    <xf numFmtId="0" fontId="8" fillId="5" borderId="74" xfId="0" applyFont="1" applyFill="1" applyBorder="1" applyAlignment="1" applyProtection="1">
      <alignment horizontal="center" vertical="center" wrapText="1"/>
      <protection hidden="1"/>
    </xf>
    <xf numFmtId="0" fontId="8" fillId="5" borderId="47" xfId="0" applyFont="1" applyFill="1" applyBorder="1" applyAlignment="1" applyProtection="1">
      <alignment horizontal="center" vertical="center" wrapText="1"/>
      <protection hidden="1"/>
    </xf>
    <xf numFmtId="0" fontId="8" fillId="16" borderId="43" xfId="0" applyFont="1" applyFill="1" applyBorder="1" applyAlignment="1" applyProtection="1">
      <alignment horizontal="center" vertical="center" wrapText="1"/>
      <protection hidden="1"/>
    </xf>
    <xf numFmtId="0" fontId="8" fillId="16" borderId="39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1" fillId="5" borderId="29" xfId="0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locked="0" hidden="1"/>
    </xf>
    <xf numFmtId="0" fontId="2" fillId="6" borderId="20" xfId="0" applyFont="1" applyFill="1" applyBorder="1" applyAlignment="1" applyProtection="1">
      <alignment horizontal="center" vertical="center" wrapText="1"/>
      <protection locked="0"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locked="0" hidden="1"/>
    </xf>
    <xf numFmtId="0" fontId="2" fillId="6" borderId="8" xfId="0" applyFont="1" applyFill="1" applyBorder="1" applyAlignment="1" applyProtection="1">
      <alignment horizontal="center" vertical="center" wrapText="1"/>
      <protection locked="0" hidden="1"/>
    </xf>
    <xf numFmtId="0" fontId="27" fillId="5" borderId="53" xfId="0" applyFont="1" applyFill="1" applyBorder="1" applyAlignment="1" applyProtection="1">
      <alignment horizontal="center" vertical="center" wrapText="1"/>
      <protection hidden="1"/>
    </xf>
    <xf numFmtId="0" fontId="27" fillId="5" borderId="32" xfId="0" applyFont="1" applyFill="1" applyBorder="1" applyAlignment="1" applyProtection="1">
      <alignment horizontal="center" vertical="center" wrapText="1"/>
      <protection hidden="1"/>
    </xf>
    <xf numFmtId="0" fontId="27" fillId="5" borderId="15" xfId="0" applyFont="1" applyFill="1" applyBorder="1" applyAlignment="1" applyProtection="1">
      <alignment horizontal="center" vertical="center" wrapText="1"/>
      <protection hidden="1"/>
    </xf>
    <xf numFmtId="0" fontId="27" fillId="5" borderId="18" xfId="0" applyFont="1" applyFill="1" applyBorder="1" applyAlignment="1" applyProtection="1">
      <alignment horizontal="center" vertical="center" wrapText="1"/>
      <protection hidden="1"/>
    </xf>
    <xf numFmtId="1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64" fontId="21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16" borderId="29" xfId="0" applyFont="1" applyFill="1" applyBorder="1" applyAlignment="1" applyProtection="1">
      <alignment horizontal="center" vertical="center" wrapText="1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0" fontId="4" fillId="16" borderId="8" xfId="0" applyFont="1" applyFill="1" applyBorder="1" applyAlignment="1" applyProtection="1">
      <alignment horizontal="center" vertical="center" wrapText="1"/>
      <protection hidden="1"/>
    </xf>
    <xf numFmtId="14" fontId="21" fillId="12" borderId="12" xfId="0" applyNumberFormat="1" applyFont="1" applyFill="1" applyBorder="1" applyAlignment="1" applyProtection="1">
      <alignment horizontal="center" vertical="center" wrapText="1"/>
      <protection hidden="1"/>
    </xf>
    <xf numFmtId="14" fontId="21" fillId="12" borderId="18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center" vertical="center" wrapText="1"/>
      <protection hidden="1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170" fontId="21" fillId="19" borderId="29" xfId="0" applyNumberFormat="1" applyFont="1" applyFill="1" applyBorder="1" applyAlignment="1" applyProtection="1">
      <alignment horizontal="center" vertical="center" wrapText="1"/>
      <protection hidden="1"/>
    </xf>
    <xf numFmtId="170" fontId="21" fillId="19" borderId="21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14" fontId="21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16" borderId="60" xfId="0" applyFont="1" applyFill="1" applyBorder="1" applyAlignment="1" applyProtection="1">
      <alignment horizontal="left" vertical="center" wrapText="1"/>
      <protection hidden="1"/>
    </xf>
    <xf numFmtId="0" fontId="7" fillId="16" borderId="50" xfId="0" applyFont="1" applyFill="1" applyBorder="1" applyAlignment="1" applyProtection="1">
      <alignment horizontal="left" vertical="center" wrapText="1"/>
      <protection hidden="1"/>
    </xf>
    <xf numFmtId="0" fontId="21" fillId="12" borderId="11" xfId="0" applyFont="1" applyFill="1" applyBorder="1" applyAlignment="1" applyProtection="1">
      <alignment horizontal="center" vertical="center" wrapText="1"/>
      <protection hidden="1"/>
    </xf>
    <xf numFmtId="0" fontId="21" fillId="12" borderId="14" xfId="0" applyFont="1" applyFill="1" applyBorder="1" applyAlignment="1" applyProtection="1">
      <alignment horizontal="center" vertical="center" wrapText="1"/>
      <protection hidden="1"/>
    </xf>
    <xf numFmtId="0" fontId="21" fillId="12" borderId="28" xfId="0" applyFont="1" applyFill="1" applyBorder="1" applyAlignment="1" applyProtection="1">
      <alignment horizontal="center" vertical="center" wrapText="1"/>
      <protection hidden="1"/>
    </xf>
    <xf numFmtId="0" fontId="21" fillId="12" borderId="65" xfId="0" applyFont="1" applyFill="1" applyBorder="1" applyAlignment="1" applyProtection="1">
      <alignment horizontal="center" vertical="center" wrapText="1"/>
      <protection hidden="1"/>
    </xf>
    <xf numFmtId="0" fontId="21" fillId="12" borderId="3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left" vertical="center" wrapText="1"/>
      <protection hidden="1"/>
    </xf>
    <xf numFmtId="0" fontId="24" fillId="4" borderId="2" xfId="0" applyFont="1" applyFill="1" applyBorder="1" applyAlignment="1" applyProtection="1">
      <alignment horizontal="center" vertical="center" wrapText="1"/>
      <protection locked="0" hidden="1"/>
    </xf>
    <xf numFmtId="0" fontId="24" fillId="4" borderId="3" xfId="0" applyFont="1" applyFill="1" applyBorder="1" applyAlignment="1" applyProtection="1">
      <alignment horizontal="center" vertical="center" wrapText="1"/>
      <protection locked="0" hidden="1"/>
    </xf>
    <xf numFmtId="0" fontId="24" fillId="4" borderId="4" xfId="0" applyFont="1" applyFill="1" applyBorder="1" applyAlignment="1" applyProtection="1">
      <alignment horizontal="center" vertical="center" wrapText="1"/>
      <protection locked="0" hidden="1"/>
    </xf>
    <xf numFmtId="0" fontId="7" fillId="16" borderId="29" xfId="0" applyFont="1" applyFill="1" applyBorder="1" applyAlignment="1" applyProtection="1">
      <alignment horizontal="center" vertical="center" wrapText="1"/>
      <protection hidden="1"/>
    </xf>
    <xf numFmtId="0" fontId="7" fillId="16" borderId="8" xfId="0" applyFont="1" applyFill="1" applyBorder="1" applyAlignment="1" applyProtection="1">
      <alignment horizontal="center" vertical="center" wrapText="1"/>
      <protection hidden="1"/>
    </xf>
    <xf numFmtId="0" fontId="7" fillId="21" borderId="44" xfId="0" applyFont="1" applyFill="1" applyBorder="1" applyAlignment="1" applyProtection="1">
      <alignment horizontal="center" vertical="center" wrapText="1"/>
      <protection hidden="1"/>
    </xf>
    <xf numFmtId="0" fontId="7" fillId="21" borderId="53" xfId="0" applyFont="1" applyFill="1" applyBorder="1" applyAlignment="1" applyProtection="1">
      <alignment horizontal="center" vertical="center" wrapText="1"/>
      <protection hidden="1"/>
    </xf>
    <xf numFmtId="0" fontId="7" fillId="21" borderId="32" xfId="0" applyFont="1" applyFill="1" applyBorder="1" applyAlignment="1" applyProtection="1">
      <alignment horizontal="center" vertical="center" wrapText="1"/>
      <protection hidden="1"/>
    </xf>
    <xf numFmtId="167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167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18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5" xfId="0" applyNumberFormat="1" applyFont="1" applyFill="1" applyBorder="1" applyAlignment="1" applyProtection="1">
      <alignment horizontal="center" vertical="center" wrapText="1"/>
      <protection hidden="1"/>
    </xf>
    <xf numFmtId="170" fontId="21" fillId="15" borderId="28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4" xfId="6" applyBorder="1" applyAlignment="1" applyProtection="1">
      <alignment horizontal="center" vertical="center" wrapText="1"/>
      <protection locked="0" hidden="1"/>
    </xf>
    <xf numFmtId="0" fontId="9" fillId="24" borderId="40" xfId="6" applyBorder="1" applyAlignment="1" applyProtection="1">
      <alignment horizontal="center" vertical="center" wrapText="1"/>
      <protection locked="0" hidden="1"/>
    </xf>
    <xf numFmtId="0" fontId="84" fillId="14" borderId="6" xfId="0" applyFont="1" applyFill="1" applyBorder="1" applyAlignment="1" applyProtection="1">
      <alignment horizontal="center" vertical="center" wrapText="1"/>
      <protection hidden="1"/>
    </xf>
    <xf numFmtId="0" fontId="84" fillId="14" borderId="7" xfId="0" applyFont="1" applyFill="1" applyBorder="1" applyAlignment="1" applyProtection="1">
      <alignment horizontal="center" vertical="center" wrapText="1"/>
      <protection hidden="1"/>
    </xf>
    <xf numFmtId="0" fontId="84" fillId="14" borderId="8" xfId="0" applyFont="1" applyFill="1" applyBorder="1" applyAlignment="1" applyProtection="1">
      <alignment horizontal="center" vertical="center" wrapText="1"/>
      <protection hidden="1"/>
    </xf>
    <xf numFmtId="0" fontId="21" fillId="12" borderId="17" xfId="0" applyFont="1" applyFill="1" applyBorder="1" applyAlignment="1" applyProtection="1">
      <alignment horizontal="center" vertical="center" wrapText="1"/>
      <protection hidden="1"/>
    </xf>
    <xf numFmtId="0" fontId="7" fillId="16" borderId="37" xfId="0" applyFont="1" applyFill="1" applyBorder="1" applyAlignment="1" applyProtection="1">
      <alignment horizontal="justify" vertical="center" wrapText="1"/>
      <protection hidden="1"/>
    </xf>
    <xf numFmtId="0" fontId="7" fillId="16" borderId="14" xfId="0" applyFont="1" applyFill="1" applyBorder="1" applyAlignment="1" applyProtection="1">
      <alignment horizontal="justify" vertical="center" wrapText="1"/>
      <protection hidden="1"/>
    </xf>
    <xf numFmtId="0" fontId="36" fillId="2" borderId="37" xfId="0" applyFont="1" applyFill="1" applyBorder="1" applyAlignment="1" applyProtection="1">
      <alignment horizontal="left" vertical="center" wrapText="1"/>
      <protection hidden="1"/>
    </xf>
    <xf numFmtId="0" fontId="36" fillId="2" borderId="23" xfId="0" applyFont="1" applyFill="1" applyBorder="1" applyAlignment="1" applyProtection="1">
      <alignment horizontal="left" vertical="center" wrapText="1"/>
      <protection hidden="1"/>
    </xf>
    <xf numFmtId="0" fontId="21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37" xfId="0" applyFont="1" applyFill="1" applyBorder="1" applyAlignment="1" applyProtection="1">
      <alignment horizontal="left" vertical="top" wrapText="1"/>
      <protection hidden="1"/>
    </xf>
    <xf numFmtId="0" fontId="31" fillId="5" borderId="14" xfId="0" applyFont="1" applyFill="1" applyBorder="1" applyAlignment="1" applyProtection="1">
      <alignment horizontal="left" vertical="top" wrapText="1"/>
      <protection hidden="1"/>
    </xf>
    <xf numFmtId="0" fontId="7" fillId="5" borderId="34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24" fillId="4" borderId="2" xfId="0" applyFont="1" applyFill="1" applyBorder="1" applyAlignment="1" applyProtection="1">
      <alignment horizontal="center" vertical="center" wrapText="1"/>
      <protection hidden="1"/>
    </xf>
    <xf numFmtId="0" fontId="24" fillId="4" borderId="3" xfId="0" applyFont="1" applyFill="1" applyBorder="1" applyAlignment="1" applyProtection="1">
      <alignment horizontal="center" vertical="center" wrapText="1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0" fillId="4" borderId="6" xfId="0" applyFont="1" applyFill="1" applyBorder="1" applyAlignment="1" applyProtection="1">
      <alignment horizontal="center" vertical="center" wrapText="1"/>
      <protection hidden="1"/>
    </xf>
    <xf numFmtId="0" fontId="20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8" xfId="0" applyFont="1" applyFill="1" applyBorder="1" applyAlignment="1" applyProtection="1">
      <alignment horizontal="center" vertical="center" wrapText="1"/>
      <protection hidden="1"/>
    </xf>
    <xf numFmtId="0" fontId="4" fillId="16" borderId="60" xfId="0" applyFont="1" applyFill="1" applyBorder="1" applyAlignment="1" applyProtection="1">
      <alignment horizontal="center" vertical="center" wrapText="1"/>
      <protection hidden="1"/>
    </xf>
    <xf numFmtId="0" fontId="4" fillId="16" borderId="50" xfId="0" applyFont="1" applyFill="1" applyBorder="1" applyAlignment="1" applyProtection="1">
      <alignment horizontal="center" vertical="center" wrapText="1"/>
      <protection hidden="1"/>
    </xf>
    <xf numFmtId="0" fontId="4" fillId="16" borderId="33" xfId="0" applyFont="1" applyFill="1" applyBorder="1" applyAlignment="1" applyProtection="1">
      <alignment horizontal="center" vertical="center" wrapText="1"/>
      <protection hidden="1"/>
    </xf>
    <xf numFmtId="0" fontId="4" fillId="16" borderId="56" xfId="0" applyFont="1" applyFill="1" applyBorder="1" applyAlignment="1" applyProtection="1">
      <alignment horizontal="center" vertical="center" wrapText="1"/>
      <protection hidden="1"/>
    </xf>
    <xf numFmtId="167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6" xfId="0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2" xfId="0" applyFont="1" applyFill="1" applyBorder="1" applyAlignment="1" applyProtection="1">
      <alignment horizontal="center" vertical="center" wrapText="1"/>
      <protection hidden="1"/>
    </xf>
    <xf numFmtId="0" fontId="92" fillId="8" borderId="2" xfId="0" applyFont="1" applyFill="1" applyBorder="1" applyAlignment="1" applyProtection="1">
      <alignment horizontal="center" vertical="center" wrapText="1"/>
      <protection hidden="1"/>
    </xf>
    <xf numFmtId="0" fontId="92" fillId="8" borderId="3" xfId="0" applyFont="1" applyFill="1" applyBorder="1" applyAlignment="1" applyProtection="1">
      <alignment horizontal="center" vertical="center" wrapText="1"/>
      <protection hidden="1"/>
    </xf>
    <xf numFmtId="0" fontId="92" fillId="8" borderId="4" xfId="0" applyFont="1" applyFill="1" applyBorder="1" applyAlignment="1" applyProtection="1">
      <alignment horizontal="center" vertical="center" wrapText="1"/>
      <protection hidden="1"/>
    </xf>
    <xf numFmtId="2" fontId="41" fillId="7" borderId="62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67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80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3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72" xfId="0" applyNumberFormat="1" applyFont="1" applyFill="1" applyBorder="1" applyAlignment="1" applyProtection="1">
      <alignment horizontal="center" vertical="center" wrapText="1"/>
      <protection hidden="1"/>
    </xf>
    <xf numFmtId="167" fontId="41" fillId="7" borderId="52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9" xfId="0" applyNumberFormat="1" applyFont="1" applyFill="1" applyBorder="1" applyAlignment="1" applyProtection="1">
      <alignment horizontal="center" vertical="center" wrapText="1"/>
      <protection hidden="1"/>
    </xf>
    <xf numFmtId="2" fontId="21" fillId="15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74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56" fillId="25" borderId="2" xfId="0" applyFont="1" applyFill="1" applyBorder="1" applyAlignment="1" applyProtection="1">
      <alignment horizontal="center" vertical="center" wrapText="1"/>
      <protection hidden="1"/>
    </xf>
    <xf numFmtId="0" fontId="56" fillId="25" borderId="3" xfId="0" applyFont="1" applyFill="1" applyBorder="1" applyAlignment="1" applyProtection="1">
      <alignment horizontal="center" vertical="center" wrapText="1"/>
      <protection hidden="1"/>
    </xf>
    <xf numFmtId="0" fontId="56" fillId="25" borderId="4" xfId="0" applyFont="1" applyFill="1" applyBorder="1" applyAlignment="1" applyProtection="1">
      <alignment horizontal="center" vertical="center" wrapText="1"/>
      <protection hidden="1"/>
    </xf>
    <xf numFmtId="0" fontId="7" fillId="5" borderId="60" xfId="1" applyFont="1" applyFill="1" applyBorder="1" applyAlignment="1" applyProtection="1">
      <alignment horizontal="center" vertical="center" wrapText="1"/>
      <protection hidden="1"/>
    </xf>
    <xf numFmtId="0" fontId="7" fillId="5" borderId="50" xfId="1" applyFont="1" applyFill="1" applyBorder="1" applyAlignment="1" applyProtection="1">
      <alignment horizontal="center" vertical="center" wrapText="1"/>
      <protection hidden="1"/>
    </xf>
    <xf numFmtId="0" fontId="7" fillId="5" borderId="33" xfId="1" applyFont="1" applyFill="1" applyBorder="1" applyAlignment="1" applyProtection="1">
      <alignment horizontal="center" vertical="center" wrapText="1"/>
      <protection hidden="1"/>
    </xf>
    <xf numFmtId="0" fontId="7" fillId="5" borderId="56" xfId="1" applyFont="1" applyFill="1" applyBorder="1" applyAlignment="1" applyProtection="1">
      <alignment horizontal="center" vertical="center" wrapText="1"/>
      <protection hidden="1"/>
    </xf>
    <xf numFmtId="0" fontId="56" fillId="4" borderId="6" xfId="0" applyFont="1" applyFill="1" applyBorder="1" applyAlignment="1" applyProtection="1">
      <alignment horizontal="center" vertical="center" wrapText="1"/>
      <protection hidden="1"/>
    </xf>
    <xf numFmtId="0" fontId="56" fillId="4" borderId="7" xfId="0" applyFont="1" applyFill="1" applyBorder="1" applyAlignment="1" applyProtection="1">
      <alignment horizontal="center" vertical="center" wrapText="1"/>
      <protection hidden="1"/>
    </xf>
    <xf numFmtId="0" fontId="56" fillId="4" borderId="8" xfId="0" applyFont="1" applyFill="1" applyBorder="1" applyAlignment="1" applyProtection="1">
      <alignment horizontal="center" vertical="center" wrapText="1"/>
      <protection hidden="1"/>
    </xf>
    <xf numFmtId="1" fontId="21" fillId="15" borderId="34" xfId="0" applyNumberFormat="1" applyFont="1" applyFill="1" applyBorder="1" applyAlignment="1" applyProtection="1">
      <alignment horizontal="center" vertical="center" wrapText="1"/>
      <protection hidden="1"/>
    </xf>
    <xf numFmtId="1" fontId="21" fillId="15" borderId="45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69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75" xfId="0" applyFont="1" applyFill="1" applyBorder="1" applyAlignment="1" applyProtection="1">
      <alignment horizontal="center" vertical="center" wrapText="1"/>
      <protection hidden="1"/>
    </xf>
    <xf numFmtId="0" fontId="7" fillId="5" borderId="67" xfId="0" applyFont="1" applyFill="1" applyBorder="1" applyAlignment="1" applyProtection="1">
      <alignment horizontal="center" vertical="center" wrapText="1"/>
      <protection hidden="1"/>
    </xf>
    <xf numFmtId="0" fontId="7" fillId="5" borderId="38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 wrapText="1"/>
      <protection hidden="1"/>
    </xf>
    <xf numFmtId="0" fontId="1" fillId="5" borderId="14" xfId="0" applyFont="1" applyFill="1" applyBorder="1" applyAlignment="1" applyProtection="1">
      <alignment horizontal="center" vertical="top" wrapText="1"/>
      <protection hidden="1"/>
    </xf>
    <xf numFmtId="0" fontId="1" fillId="5" borderId="58" xfId="0" applyFont="1" applyFill="1" applyBorder="1" applyAlignment="1" applyProtection="1">
      <alignment horizontal="center" vertical="top" wrapText="1"/>
      <protection hidden="1"/>
    </xf>
    <xf numFmtId="0" fontId="1" fillId="5" borderId="59" xfId="0" applyFont="1" applyFill="1" applyBorder="1" applyAlignment="1" applyProtection="1">
      <alignment horizontal="center" vertical="top" wrapText="1"/>
      <protection hidden="1"/>
    </xf>
    <xf numFmtId="0" fontId="1" fillId="5" borderId="21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top" wrapText="1"/>
      <protection hidden="1"/>
    </xf>
    <xf numFmtId="0" fontId="1" fillId="5" borderId="4" xfId="0" applyFont="1" applyFill="1" applyBorder="1" applyAlignment="1" applyProtection="1">
      <alignment horizontal="center" vertical="top" wrapText="1"/>
      <protection hidden="1"/>
    </xf>
    <xf numFmtId="0" fontId="1" fillId="5" borderId="13" xfId="0" applyFont="1" applyFill="1" applyBorder="1" applyAlignment="1" applyProtection="1">
      <alignment horizontal="center" vertical="top" wrapText="1"/>
      <protection hidden="1"/>
    </xf>
    <xf numFmtId="0" fontId="1" fillId="5" borderId="65" xfId="0" applyFont="1" applyFill="1" applyBorder="1" applyAlignment="1" applyProtection="1">
      <alignment horizontal="center" vertical="top" wrapText="1"/>
      <protection hidden="1"/>
    </xf>
    <xf numFmtId="166" fontId="2" fillId="13" borderId="64" xfId="0" applyNumberFormat="1" applyFont="1" applyFill="1" applyBorder="1" applyAlignment="1" applyProtection="1">
      <alignment horizontal="center" vertical="center"/>
      <protection hidden="1"/>
    </xf>
    <xf numFmtId="166" fontId="2" fillId="13" borderId="63" xfId="0" applyNumberFormat="1" applyFont="1" applyFill="1" applyBorder="1" applyAlignment="1" applyProtection="1">
      <alignment horizontal="center" vertical="center"/>
      <protection hidden="1"/>
    </xf>
    <xf numFmtId="0" fontId="56" fillId="8" borderId="6" xfId="0" applyFont="1" applyFill="1" applyBorder="1" applyAlignment="1" applyProtection="1">
      <alignment horizontal="center" vertical="center" wrapText="1"/>
      <protection hidden="1"/>
    </xf>
    <xf numFmtId="0" fontId="56" fillId="8" borderId="7" xfId="0" applyFont="1" applyFill="1" applyBorder="1" applyAlignment="1" applyProtection="1">
      <alignment horizontal="center" vertical="center" wrapText="1"/>
      <protection hidden="1"/>
    </xf>
    <xf numFmtId="0" fontId="56" fillId="8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" fillId="5" borderId="37" xfId="0" applyFont="1" applyFill="1" applyBorder="1" applyAlignment="1" applyProtection="1">
      <alignment horizontal="center" vertical="top"/>
      <protection hidden="1"/>
    </xf>
    <xf numFmtId="0" fontId="1" fillId="5" borderId="14" xfId="0" applyFont="1" applyFill="1" applyBorder="1" applyAlignment="1" applyProtection="1">
      <alignment horizontal="center" vertical="top"/>
      <protection hidden="1"/>
    </xf>
    <xf numFmtId="0" fontId="1" fillId="5" borderId="60" xfId="0" applyFont="1" applyFill="1" applyBorder="1" applyAlignment="1" applyProtection="1">
      <alignment horizontal="center" vertical="top" wrapText="1"/>
      <protection hidden="1"/>
    </xf>
    <xf numFmtId="0" fontId="1" fillId="5" borderId="50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6" fillId="4" borderId="41" xfId="0" applyFont="1" applyFill="1" applyBorder="1" applyAlignment="1" applyProtection="1">
      <alignment horizontal="center" vertical="center" wrapText="1"/>
      <protection hidden="1"/>
    </xf>
    <xf numFmtId="0" fontId="56" fillId="4" borderId="42" xfId="0" applyFont="1" applyFill="1" applyBorder="1" applyAlignment="1" applyProtection="1">
      <alignment horizontal="center" vertical="center" wrapText="1"/>
      <protection hidden="1"/>
    </xf>
    <xf numFmtId="0" fontId="56" fillId="4" borderId="43" xfId="0" applyFont="1" applyFill="1" applyBorder="1" applyAlignment="1" applyProtection="1">
      <alignment horizontal="center" vertical="center" wrapText="1"/>
      <protection hidden="1"/>
    </xf>
    <xf numFmtId="0" fontId="56" fillId="4" borderId="45" xfId="0" applyFont="1" applyFill="1" applyBorder="1" applyAlignment="1" applyProtection="1">
      <alignment horizontal="center" vertical="center" wrapText="1"/>
      <protection hidden="1"/>
    </xf>
    <xf numFmtId="0" fontId="56" fillId="4" borderId="46" xfId="0" applyFont="1" applyFill="1" applyBorder="1" applyAlignment="1" applyProtection="1">
      <alignment horizontal="center" vertical="center" wrapText="1"/>
      <protection hidden="1"/>
    </xf>
    <xf numFmtId="0" fontId="56" fillId="4" borderId="39" xfId="0" applyFont="1" applyFill="1" applyBorder="1" applyAlignment="1" applyProtection="1">
      <alignment horizontal="center" vertical="center" wrapText="1"/>
      <protection hidden="1"/>
    </xf>
    <xf numFmtId="170" fontId="21" fillId="19" borderId="22" xfId="0" applyNumberFormat="1" applyFont="1" applyFill="1" applyBorder="1" applyAlignment="1" applyProtection="1">
      <alignment horizontal="center" vertical="center" wrapText="1"/>
      <protection hidden="1"/>
    </xf>
    <xf numFmtId="0" fontId="56" fillId="4" borderId="2" xfId="0" applyFont="1" applyFill="1" applyBorder="1" applyAlignment="1" applyProtection="1">
      <alignment horizontal="center" vertical="center" wrapText="1"/>
      <protection hidden="1"/>
    </xf>
    <xf numFmtId="0" fontId="56" fillId="4" borderId="3" xfId="0" applyFont="1" applyFill="1" applyBorder="1" applyAlignment="1" applyProtection="1">
      <alignment horizontal="center" vertical="center" wrapText="1"/>
      <protection hidden="1"/>
    </xf>
    <xf numFmtId="0" fontId="56" fillId="4" borderId="4" xfId="0" applyFont="1" applyFill="1" applyBorder="1" applyAlignment="1" applyProtection="1">
      <alignment horizontal="center" vertical="center" wrapText="1"/>
      <protection hidden="1"/>
    </xf>
    <xf numFmtId="0" fontId="56" fillId="4" borderId="49" xfId="0" applyFont="1" applyFill="1" applyBorder="1" applyAlignment="1" applyProtection="1">
      <alignment horizontal="center" vertical="center" wrapText="1"/>
      <protection hidden="1"/>
    </xf>
    <xf numFmtId="0" fontId="56" fillId="4" borderId="5" xfId="0" applyFont="1" applyFill="1" applyBorder="1" applyAlignment="1" applyProtection="1">
      <alignment horizontal="center" vertical="center" wrapText="1"/>
      <protection hidden="1"/>
    </xf>
    <xf numFmtId="0" fontId="56" fillId="4" borderId="40" xfId="0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167" fontId="3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61" fillId="0" borderId="0" xfId="0" applyFont="1" applyAlignment="1" applyProtection="1">
      <alignment horizontal="left" vertical="center" wrapText="1"/>
      <protection hidden="1"/>
    </xf>
    <xf numFmtId="14" fontId="38" fillId="0" borderId="42" xfId="0" applyNumberFormat="1" applyFont="1" applyBorder="1" applyAlignment="1" applyProtection="1">
      <alignment horizontal="center" vertical="center" wrapText="1"/>
      <protection hidden="1"/>
    </xf>
    <xf numFmtId="0" fontId="38" fillId="0" borderId="42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/>
      <protection hidden="1"/>
    </xf>
    <xf numFmtId="0" fontId="64" fillId="14" borderId="0" xfId="0" applyFont="1" applyFill="1" applyBorder="1" applyAlignment="1" applyProtection="1">
      <alignment horizontal="left" vertical="center" wrapText="1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/>
    </xf>
    <xf numFmtId="0" fontId="17" fillId="0" borderId="73" xfId="0" applyFont="1" applyBorder="1" applyAlignment="1" applyProtection="1">
      <alignment horizontal="center" vertical="center" wrapText="1"/>
      <protection hidden="1"/>
    </xf>
    <xf numFmtId="0" fontId="17" fillId="0" borderId="72" xfId="0" applyFont="1" applyBorder="1" applyAlignment="1" applyProtection="1">
      <alignment horizontal="center" vertical="center" wrapText="1"/>
      <protection hidden="1"/>
    </xf>
    <xf numFmtId="0" fontId="17" fillId="0" borderId="52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justify" wrapText="1"/>
      <protection locked="0" hidden="1"/>
    </xf>
    <xf numFmtId="0" fontId="64" fillId="0" borderId="0" xfId="0" applyFont="1" applyFill="1" applyAlignment="1" applyProtection="1">
      <alignment horizontal="justify" vertical="justify" wrapText="1"/>
      <protection locked="0" hidden="1"/>
    </xf>
    <xf numFmtId="0" fontId="64" fillId="0" borderId="0" xfId="0" applyFont="1" applyAlignment="1" applyProtection="1">
      <alignment horizontal="justify" vertical="justify" wrapText="1"/>
      <protection locked="0" hidden="1"/>
    </xf>
    <xf numFmtId="0" fontId="17" fillId="14" borderId="0" xfId="0" applyFont="1" applyFill="1" applyBorder="1" applyAlignment="1" applyProtection="1">
      <alignment horizontal="left" vertical="center" wrapText="1"/>
      <protection hidden="1"/>
    </xf>
    <xf numFmtId="0" fontId="17" fillId="14" borderId="0" xfId="0" applyFont="1" applyFill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left" vertical="justify" wrapText="1"/>
      <protection hidden="1"/>
    </xf>
    <xf numFmtId="0" fontId="19" fillId="14" borderId="6" xfId="0" applyFont="1" applyFill="1" applyBorder="1" applyAlignment="1" applyProtection="1">
      <alignment horizontal="center" vertical="center" wrapText="1"/>
      <protection hidden="1"/>
    </xf>
    <xf numFmtId="0" fontId="19" fillId="14" borderId="8" xfId="0" applyFont="1" applyFill="1" applyBorder="1" applyAlignment="1" applyProtection="1">
      <alignment horizontal="center" vertical="center" wrapText="1"/>
      <protection hidden="1"/>
    </xf>
    <xf numFmtId="0" fontId="38" fillId="0" borderId="33" xfId="0" applyFont="1" applyFill="1" applyBorder="1" applyAlignment="1" applyProtection="1">
      <alignment horizontal="center" vertical="center" wrapText="1"/>
      <protection hidden="1"/>
    </xf>
    <xf numFmtId="0" fontId="38" fillId="0" borderId="50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justify" vertical="justify" wrapText="1"/>
      <protection hidden="1"/>
    </xf>
    <xf numFmtId="0" fontId="64" fillId="0" borderId="0" xfId="0" applyFont="1" applyFill="1" applyAlignment="1" applyProtection="1">
      <alignment horizontal="justify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 applyProtection="1">
      <alignment horizontal="center" vertical="center" wrapText="1"/>
      <protection hidden="1"/>
    </xf>
    <xf numFmtId="0" fontId="38" fillId="0" borderId="14" xfId="0" applyFont="1" applyFill="1" applyBorder="1" applyAlignment="1" applyProtection="1">
      <alignment horizontal="center" vertical="center" wrapText="1"/>
      <protection hidden="1"/>
    </xf>
    <xf numFmtId="0" fontId="38" fillId="0" borderId="57" xfId="0" applyFont="1" applyFill="1" applyBorder="1" applyAlignment="1" applyProtection="1">
      <alignment horizontal="center" vertical="center" wrapText="1"/>
      <protection hidden="1"/>
    </xf>
    <xf numFmtId="0" fontId="38" fillId="0" borderId="59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/>
      <protection hidden="1"/>
    </xf>
    <xf numFmtId="170" fontId="64" fillId="0" borderId="0" xfId="0" applyNumberFormat="1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64" fillId="0" borderId="0" xfId="0" applyFont="1" applyAlignment="1" applyProtection="1">
      <protection locked="0" hidden="1"/>
    </xf>
    <xf numFmtId="0" fontId="64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left"/>
      <protection locked="0" hidden="1"/>
    </xf>
    <xf numFmtId="0" fontId="61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14" fontId="64" fillId="0" borderId="0" xfId="0" applyNumberFormat="1" applyFont="1" applyBorder="1" applyAlignment="1" applyProtection="1">
      <alignment horizontal="left" vertical="center" wrapText="1"/>
      <protection hidden="1"/>
    </xf>
    <xf numFmtId="0" fontId="61" fillId="0" borderId="0" xfId="0" applyFont="1" applyBorder="1" applyAlignment="1" applyProtection="1">
      <alignment horizontal="left" vertical="center" wrapText="1"/>
      <protection hidden="1"/>
    </xf>
    <xf numFmtId="170" fontId="64" fillId="0" borderId="0" xfId="0" applyNumberFormat="1" applyFont="1" applyBorder="1" applyAlignment="1" applyProtection="1">
      <alignment horizontal="left" vertical="center" wrapText="1"/>
      <protection hidden="1"/>
    </xf>
    <xf numFmtId="0" fontId="71" fillId="0" borderId="0" xfId="0" applyFont="1" applyAlignment="1" applyProtection="1">
      <alignment horizontal="left" vertical="center" wrapText="1"/>
      <protection locked="0" hidden="1"/>
    </xf>
    <xf numFmtId="0" fontId="81" fillId="0" borderId="0" xfId="0" applyFont="1" applyAlignment="1" applyProtection="1">
      <alignment horizontal="center" vertical="center"/>
      <protection hidden="1"/>
    </xf>
    <xf numFmtId="0" fontId="17" fillId="14" borderId="0" xfId="0" applyFont="1" applyFill="1" applyAlignment="1" applyProtection="1">
      <alignment horizontal="left" vertical="center"/>
      <protection hidden="1"/>
    </xf>
    <xf numFmtId="0" fontId="38" fillId="0" borderId="41" xfId="0" applyFont="1" applyBorder="1" applyAlignment="1" applyProtection="1">
      <alignment horizontal="left" vertical="center" wrapText="1"/>
      <protection hidden="1"/>
    </xf>
    <xf numFmtId="0" fontId="38" fillId="0" borderId="42" xfId="0" applyFont="1" applyBorder="1" applyAlignment="1" applyProtection="1">
      <alignment horizontal="left" vertical="center" wrapText="1"/>
      <protection hidden="1"/>
    </xf>
    <xf numFmtId="1" fontId="40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 applyProtection="1">
      <alignment horizontal="justify" vertical="center" wrapText="1"/>
      <protection hidden="1"/>
    </xf>
    <xf numFmtId="0" fontId="64" fillId="0" borderId="0" xfId="0" applyFont="1" applyAlignment="1" applyProtection="1">
      <alignment horizontal="justify" vertical="justify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9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14" fontId="80" fillId="0" borderId="0" xfId="0" applyNumberFormat="1" applyFont="1" applyBorder="1" applyAlignment="1" applyProtection="1">
      <alignment horizontal="left" vertical="center" wrapText="1"/>
      <protection hidden="1"/>
    </xf>
    <xf numFmtId="0" fontId="80" fillId="0" borderId="0" xfId="0" applyFont="1" applyBorder="1" applyAlignment="1" applyProtection="1">
      <alignment horizontal="left" vertical="center" wrapText="1"/>
      <protection hidden="1"/>
    </xf>
    <xf numFmtId="14" fontId="71" fillId="0" borderId="0" xfId="0" applyNumberFormat="1" applyFont="1" applyBorder="1" applyAlignment="1" applyProtection="1">
      <alignment horizontal="left" vertical="center" wrapText="1"/>
      <protection hidden="1"/>
    </xf>
    <xf numFmtId="0" fontId="64" fillId="0" borderId="0" xfId="0" applyFont="1" applyFill="1" applyAlignment="1" applyProtection="1">
      <alignment horizontal="left" vertical="justify" wrapText="1"/>
      <protection hidden="1"/>
    </xf>
    <xf numFmtId="0" fontId="64" fillId="0" borderId="0" xfId="0" applyFont="1" applyAlignment="1" applyProtection="1">
      <alignment horizontal="left" vertical="justify" wrapText="1"/>
      <protection hidden="1"/>
    </xf>
    <xf numFmtId="1" fontId="38" fillId="0" borderId="9" xfId="0" applyNumberFormat="1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177" fontId="64" fillId="0" borderId="6" xfId="0" applyNumberFormat="1" applyFont="1" applyBorder="1" applyAlignment="1" applyProtection="1">
      <alignment horizontal="center" vertical="center" wrapText="1"/>
      <protection hidden="1"/>
    </xf>
    <xf numFmtId="177" fontId="64" fillId="0" borderId="7" xfId="0" applyNumberFormat="1" applyFont="1" applyBorder="1" applyAlignment="1" applyProtection="1">
      <alignment horizontal="center" vertical="center" wrapText="1"/>
      <protection hidden="1"/>
    </xf>
    <xf numFmtId="177" fontId="64" fillId="0" borderId="8" xfId="0" applyNumberFormat="1" applyFont="1" applyBorder="1" applyAlignment="1" applyProtection="1">
      <alignment horizontal="center" vertical="center" wrapText="1"/>
      <protection hidden="1"/>
    </xf>
    <xf numFmtId="178" fontId="64" fillId="0" borderId="6" xfId="0" applyNumberFormat="1" applyFont="1" applyBorder="1" applyAlignment="1" applyProtection="1">
      <alignment horizontal="center" vertical="center" wrapText="1"/>
      <protection hidden="1"/>
    </xf>
    <xf numFmtId="178" fontId="64" fillId="0" borderId="8" xfId="0" applyNumberFormat="1" applyFont="1" applyBorder="1" applyAlignment="1" applyProtection="1">
      <alignment horizontal="center" vertical="center" wrapText="1"/>
      <protection hidden="1"/>
    </xf>
    <xf numFmtId="0" fontId="40" fillId="0" borderId="5" xfId="0" applyFont="1" applyBorder="1" applyAlignment="1" applyProtection="1">
      <alignment horizontal="left" vertical="center" wrapText="1"/>
      <protection hidden="1"/>
    </xf>
    <xf numFmtId="0" fontId="38" fillId="0" borderId="34" xfId="0" applyFont="1" applyBorder="1" applyAlignment="1" applyProtection="1">
      <alignment horizontal="left" vertical="center" wrapText="1"/>
      <protection hidden="1"/>
    </xf>
    <xf numFmtId="0" fontId="38" fillId="0" borderId="9" xfId="0" applyFont="1" applyBorder="1" applyAlignment="1" applyProtection="1">
      <alignment horizontal="left" vertical="center" wrapText="1"/>
      <protection hidden="1"/>
    </xf>
    <xf numFmtId="0" fontId="38" fillId="0" borderId="36" xfId="0" applyFont="1" applyBorder="1" applyAlignment="1" applyProtection="1">
      <alignment horizontal="center" vertical="center" wrapText="1"/>
      <protection hidden="1"/>
    </xf>
    <xf numFmtId="0" fontId="38" fillId="0" borderId="45" xfId="0" applyFont="1" applyBorder="1" applyAlignment="1" applyProtection="1">
      <alignment horizontal="left" vertical="center" wrapText="1"/>
      <protection hidden="1"/>
    </xf>
    <xf numFmtId="0" fontId="38" fillId="0" borderId="46" xfId="0" applyFont="1" applyBorder="1" applyAlignment="1" applyProtection="1">
      <alignment horizontal="left" vertical="center" wrapText="1"/>
      <protection hidden="1"/>
    </xf>
    <xf numFmtId="176" fontId="64" fillId="0" borderId="6" xfId="0" applyNumberFormat="1" applyFont="1" applyBorder="1" applyAlignment="1" applyProtection="1">
      <alignment horizontal="center" vertical="center" wrapText="1"/>
      <protection hidden="1"/>
    </xf>
    <xf numFmtId="176" fontId="64" fillId="0" borderId="7" xfId="0" applyNumberFormat="1" applyFont="1" applyBorder="1" applyAlignment="1" applyProtection="1">
      <alignment horizontal="center" vertical="center" wrapText="1"/>
      <protection hidden="1"/>
    </xf>
    <xf numFmtId="176" fontId="64" fillId="0" borderId="8" xfId="0" applyNumberFormat="1" applyFont="1" applyBorder="1" applyAlignment="1" applyProtection="1">
      <alignment horizontal="center" vertical="center" wrapText="1"/>
      <protection hidden="1"/>
    </xf>
    <xf numFmtId="170" fontId="71" fillId="0" borderId="0" xfId="0" applyNumberFormat="1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right" vertical="center" wrapText="1"/>
      <protection hidden="1"/>
    </xf>
    <xf numFmtId="0" fontId="64" fillId="0" borderId="0" xfId="0" applyFont="1" applyFill="1" applyAlignment="1" applyProtection="1">
      <alignment horizontal="center"/>
      <protection hidden="1"/>
    </xf>
    <xf numFmtId="1" fontId="38" fillId="0" borderId="57" xfId="0" applyNumberFormat="1" applyFont="1" applyBorder="1" applyAlignment="1" applyProtection="1">
      <alignment horizontal="center" vertical="center" wrapText="1"/>
      <protection hidden="1"/>
    </xf>
    <xf numFmtId="1" fontId="38" fillId="0" borderId="59" xfId="0" applyNumberFormat="1" applyFont="1" applyBorder="1" applyAlignment="1" applyProtection="1">
      <alignment horizontal="center" vertical="center" wrapText="1"/>
      <protection hidden="1"/>
    </xf>
    <xf numFmtId="0" fontId="38" fillId="0" borderId="46" xfId="0" applyFont="1" applyBorder="1" applyAlignment="1" applyProtection="1">
      <alignment horizontal="center" vertical="center" wrapText="1"/>
      <protection hidden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165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Alignment="1" applyProtection="1">
      <alignment horizontal="left" vertical="justify" wrapText="1"/>
      <protection locked="0"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0" borderId="43" xfId="0" applyFont="1" applyBorder="1" applyAlignment="1" applyProtection="1">
      <alignment horizontal="center" vertical="center" wrapText="1"/>
      <protection hidden="1"/>
    </xf>
  </cellXfs>
  <cellStyles count="11">
    <cellStyle name="Buena" xfId="1" builtinId="26"/>
    <cellStyle name="Buena 2" xfId="8"/>
    <cellStyle name="Estilo 1" xfId="2"/>
    <cellStyle name="Estilo 1 2" xfId="9"/>
    <cellStyle name="Estilo 2" xfId="3"/>
    <cellStyle name="Estilo 2 2" xfId="10"/>
    <cellStyle name="Estilo 3" xfId="4"/>
    <cellStyle name="Estilo 4" xfId="5"/>
    <cellStyle name="Estilo 5" xfId="6"/>
    <cellStyle name="Estilo 6" xfId="7"/>
    <cellStyle name="Normal" xfId="0" builtinId="0"/>
  </cellStyles>
  <dxfs count="2"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91C6F7"/>
      <color rgb="FF81B0E4"/>
      <color rgb="FFFF66CC"/>
      <color rgb="FFFF9999"/>
      <color rgb="FF538DD5"/>
      <color rgb="FFDDEBF7"/>
      <color rgb="FF9BC2E6"/>
      <color rgb="FF00FF00"/>
      <color rgb="FFAFDF9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70016"/>
        <c:axId val="974672736"/>
      </c:scatterChart>
      <c:valAx>
        <c:axId val="97467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72736"/>
        <c:crosses val="autoZero"/>
        <c:crossBetween val="midCat"/>
      </c:valAx>
      <c:valAx>
        <c:axId val="9746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7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DATOS!$F$88:$F$90</c:f>
              <c:numCache>
                <c:formatCode>General</c:formatCode>
                <c:ptCount val="3"/>
                <c:pt idx="0">
                  <c:v>15.5</c:v>
                </c:pt>
                <c:pt idx="1">
                  <c:v>24.6</c:v>
                </c:pt>
                <c:pt idx="2" formatCode="0.0">
                  <c:v>29.2</c:v>
                </c:pt>
              </c:numCache>
            </c:numRef>
          </c:xVal>
          <c:yVal>
            <c:numRef>
              <c:f>DATOS!$H$88:$H$90</c:f>
              <c:numCache>
                <c:formatCode>0.0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3504"/>
        <c:axId val="868228192"/>
      </c:scatterChart>
      <c:valAx>
        <c:axId val="86821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8192"/>
        <c:crosses val="autoZero"/>
        <c:crossBetween val="midCat"/>
      </c:valAx>
      <c:valAx>
        <c:axId val="86822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DATOS!$F$91:$F$93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68.5</c:v>
                </c:pt>
              </c:numCache>
            </c:numRef>
          </c:xVal>
          <c:yVal>
            <c:numRef>
              <c:f>DATOS!$H$91:$H$93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5136"/>
        <c:axId val="868225472"/>
      </c:scatterChart>
      <c:valAx>
        <c:axId val="86821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5472"/>
        <c:crosses val="autoZero"/>
        <c:crossBetween val="midCat"/>
      </c:valAx>
      <c:valAx>
        <c:axId val="8682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DATOS!$F$94:$F$96</c:f>
              <c:numCache>
                <c:formatCode>General</c:formatCode>
                <c:ptCount val="3"/>
                <c:pt idx="0">
                  <c:v>699.2</c:v>
                </c:pt>
                <c:pt idx="1">
                  <c:v>752.7</c:v>
                </c:pt>
                <c:pt idx="2">
                  <c:v>799.2</c:v>
                </c:pt>
              </c:numCache>
            </c:numRef>
          </c:xVal>
          <c:yVal>
            <c:numRef>
              <c:f>DATOS!$H$94:$H$96</c:f>
              <c:numCache>
                <c:formatCode>0.00</c:formatCode>
                <c:ptCount val="3"/>
                <c:pt idx="0" formatCode="General">
                  <c:v>-0.92</c:v>
                </c:pt>
                <c:pt idx="1">
                  <c:v>-0.88</c:v>
                </c:pt>
                <c:pt idx="2" formatCode="General">
                  <c:v>-0.82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8944"/>
        <c:axId val="868212960"/>
      </c:scatterChart>
      <c:valAx>
        <c:axId val="86821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2960"/>
        <c:crosses val="autoZero"/>
        <c:crossBetween val="midCat"/>
      </c:valAx>
      <c:valAx>
        <c:axId val="8682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DATOS!$A$99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DATOS!$F$99:$F$101</c:f>
              <c:numCache>
                <c:formatCode>0.0</c:formatCode>
                <c:ptCount val="3"/>
                <c:pt idx="0" formatCode="General">
                  <c:v>15.4</c:v>
                </c:pt>
                <c:pt idx="1">
                  <c:v>24.7</c:v>
                </c:pt>
                <c:pt idx="2">
                  <c:v>29.4</c:v>
                </c:pt>
              </c:numCache>
            </c:numRef>
          </c:xVal>
          <c:yVal>
            <c:numRef>
              <c:f>DATOS!$H$99:$H$101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3296"/>
        <c:axId val="868214048"/>
      </c:scatterChart>
      <c:valAx>
        <c:axId val="86822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4048"/>
        <c:crosses val="autoZero"/>
        <c:crossBetween val="midCat"/>
      </c:valAx>
      <c:valAx>
        <c:axId val="8682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3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DATOS!$F$102:$F$104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68.3</c:v>
                </c:pt>
              </c:numCache>
            </c:numRef>
          </c:xVal>
          <c:yVal>
            <c:numRef>
              <c:f>DATOS!$H$102:$H$104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3840"/>
        <c:axId val="868217312"/>
      </c:scatterChart>
      <c:valAx>
        <c:axId val="86822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7312"/>
        <c:crosses val="autoZero"/>
        <c:crossBetween val="midCat"/>
      </c:valAx>
      <c:valAx>
        <c:axId val="8682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DATOS!$F$105:$F$107</c:f>
              <c:numCache>
                <c:formatCode>General</c:formatCode>
                <c:ptCount val="3"/>
                <c:pt idx="0" formatCode="0.0">
                  <c:v>699.2</c:v>
                </c:pt>
                <c:pt idx="1">
                  <c:v>752.7</c:v>
                </c:pt>
                <c:pt idx="2">
                  <c:v>799.1</c:v>
                </c:pt>
              </c:numCache>
            </c:numRef>
          </c:xVal>
          <c:yVal>
            <c:numRef>
              <c:f>DATOS!$H$105:$H$107</c:f>
              <c:numCache>
                <c:formatCode>0.00</c:formatCode>
                <c:ptCount val="3"/>
                <c:pt idx="0" formatCode="General">
                  <c:v>-0.99</c:v>
                </c:pt>
                <c:pt idx="1">
                  <c:v>-0.88</c:v>
                </c:pt>
                <c:pt idx="2" formatCode="General">
                  <c:v>-0.73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7104"/>
        <c:axId val="868214592"/>
      </c:scatterChart>
      <c:valAx>
        <c:axId val="86822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4592"/>
        <c:crosses val="autoZero"/>
        <c:crossBetween val="midCat"/>
      </c:valAx>
      <c:valAx>
        <c:axId val="8682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7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DATOS!$B$44</c:f>
              <c:strCache>
                <c:ptCount val="1"/>
                <c:pt idx="0">
                  <c:v>Termómetro utilizado en el liquido del RVP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DATOS!$F$44:$F$48</c:f>
              <c:numCache>
                <c:formatCode>0.000</c:formatCode>
                <c:ptCount val="5"/>
                <c:pt idx="0">
                  <c:v>14.028</c:v>
                </c:pt>
                <c:pt idx="1">
                  <c:v>16.03</c:v>
                </c:pt>
                <c:pt idx="2">
                  <c:v>17.027999999999999</c:v>
                </c:pt>
                <c:pt idx="3" formatCode="General">
                  <c:v>18.026</c:v>
                </c:pt>
                <c:pt idx="4" formatCode="General">
                  <c:v>22.027999999999999</c:v>
                </c:pt>
              </c:numCache>
            </c:numRef>
          </c:xVal>
          <c:yVal>
            <c:numRef>
              <c:f>DATOS!$H$44:$H$48</c:f>
              <c:numCache>
                <c:formatCode>General</c:formatCode>
                <c:ptCount val="5"/>
                <c:pt idx="0">
                  <c:v>-1.4999999999999999E-2</c:v>
                </c:pt>
                <c:pt idx="1">
                  <c:v>-1.7999999999999999E-2</c:v>
                </c:pt>
                <c:pt idx="2" formatCode="0.000">
                  <c:v>-0.02</c:v>
                </c:pt>
                <c:pt idx="3">
                  <c:v>-2.1000000000000001E-2</c:v>
                </c:pt>
                <c:pt idx="4">
                  <c:v>-2.7E-2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8400"/>
        <c:axId val="868219488"/>
      </c:scatterChart>
      <c:valAx>
        <c:axId val="86821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9488"/>
        <c:crosses val="autoZero"/>
        <c:crossBetween val="midCat"/>
      </c:valAx>
      <c:valAx>
        <c:axId val="8682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DATOS!$F$38:$F$42</c:f>
              <c:numCache>
                <c:formatCode>0.000</c:formatCode>
                <c:ptCount val="5"/>
                <c:pt idx="0">
                  <c:v>14.064</c:v>
                </c:pt>
                <c:pt idx="1">
                  <c:v>16.068000000000001</c:v>
                </c:pt>
                <c:pt idx="2">
                  <c:v>17.065000000000001</c:v>
                </c:pt>
                <c:pt idx="3" formatCode="General">
                  <c:v>18.064</c:v>
                </c:pt>
                <c:pt idx="4" formatCode="General">
                  <c:v>22.067</c:v>
                </c:pt>
              </c:numCache>
            </c:numRef>
          </c:xVal>
          <c:yVal>
            <c:numRef>
              <c:f>DATOS!$H$38:$H$42</c:f>
              <c:numCache>
                <c:formatCode>General</c:formatCode>
                <c:ptCount val="5"/>
                <c:pt idx="0">
                  <c:v>-5.0999999999999997E-2</c:v>
                </c:pt>
                <c:pt idx="1">
                  <c:v>-5.5E-2</c:v>
                </c:pt>
                <c:pt idx="2">
                  <c:v>-5.7000000000000002E-2</c:v>
                </c:pt>
                <c:pt idx="3">
                  <c:v>-5.8999999999999997E-2</c:v>
                </c:pt>
                <c:pt idx="4">
                  <c:v>-6.6000000000000003E-2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0032"/>
        <c:axId val="868220576"/>
      </c:scatterChart>
      <c:valAx>
        <c:axId val="86822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0576"/>
        <c:crosses val="autoZero"/>
        <c:crossBetween val="midCat"/>
      </c:valAx>
      <c:valAx>
        <c:axId val="86822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'RT03-F33'!$A$8:$A$12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'RT03-F33'!$G$8:$G$12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1120"/>
        <c:axId val="868221664"/>
      </c:scatterChart>
      <c:valAx>
        <c:axId val="86822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1664"/>
        <c:crosses val="autoZero"/>
        <c:crossBetween val="midCat"/>
      </c:valAx>
      <c:valAx>
        <c:axId val="8682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'RT03-F33'!$A$13:$A$17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'RT03-F33'!$G$13:$G$17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2208"/>
        <c:axId val="868224384"/>
      </c:scatterChart>
      <c:valAx>
        <c:axId val="86822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4384"/>
        <c:crosses val="autoZero"/>
        <c:crossBetween val="midCat"/>
      </c:valAx>
      <c:valAx>
        <c:axId val="86822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2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73824"/>
        <c:axId val="974667840"/>
      </c:scatterChart>
      <c:valAx>
        <c:axId val="97467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7840"/>
        <c:crosses val="autoZero"/>
        <c:crossBetween val="midCat"/>
      </c:valAx>
      <c:valAx>
        <c:axId val="9746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73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26560"/>
        <c:axId val="844865952"/>
      </c:scatterChart>
      <c:valAx>
        <c:axId val="86822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5952"/>
        <c:crosses val="autoZero"/>
        <c:crossBetween val="midCat"/>
      </c:valAx>
      <c:valAx>
        <c:axId val="8448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57248"/>
        <c:axId val="844857792"/>
      </c:scatterChart>
      <c:valAx>
        <c:axId val="84485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7792"/>
        <c:crosses val="autoZero"/>
        <c:crossBetween val="midCat"/>
      </c:valAx>
      <c:valAx>
        <c:axId val="8448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699.1</c:v>
                </c:pt>
                <c:pt idx="1">
                  <c:v>752.7</c:v>
                </c:pt>
                <c:pt idx="2" formatCode="0.0">
                  <c:v>799.1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-1</c:v>
                </c:pt>
                <c:pt idx="1">
                  <c:v>-0.98</c:v>
                </c:pt>
                <c:pt idx="2" formatCode="0.00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67040"/>
        <c:axId val="844862688"/>
      </c:scatterChart>
      <c:valAx>
        <c:axId val="84486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2688"/>
        <c:crosses val="autoZero"/>
        <c:crossBetween val="midCat"/>
      </c:valAx>
      <c:valAx>
        <c:axId val="8448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67584"/>
        <c:axId val="844858336"/>
      </c:scatterChart>
      <c:valAx>
        <c:axId val="84486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8336"/>
        <c:crosses val="autoZero"/>
        <c:crossBetween val="midCat"/>
      </c:valAx>
      <c:valAx>
        <c:axId val="8448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'CALIBRACIÓN DESPUES DE AJUSTE'!$A$13:$A$17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'CALIBRACIÓN DESPUES DE AJUSTE'!$C$13:$C$17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'CALIBRACIÓN DESPUES DE AJUSTE'!$G$13:$G$17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64864"/>
        <c:axId val="844864320"/>
      </c:scatterChart>
      <c:valAx>
        <c:axId val="84486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4320"/>
        <c:crosses val="autoZero"/>
        <c:crossBetween val="midCat"/>
      </c:valAx>
      <c:valAx>
        <c:axId val="8448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DATOS!$A$55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DATOS!$F$55:$F$57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DATOS!$H$55:$H$57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61056"/>
        <c:axId val="844868672"/>
      </c:scatterChart>
      <c:valAx>
        <c:axId val="84486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8672"/>
        <c:crosses val="autoZero"/>
        <c:crossBetween val="midCat"/>
      </c:valAx>
      <c:valAx>
        <c:axId val="8448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1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DATOS!$A$58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DATOS!$F$58:$F$60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DATOS!$H$58:$H$60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58880"/>
        <c:axId val="844859424"/>
      </c:scatterChart>
      <c:valAx>
        <c:axId val="84485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9424"/>
        <c:crosses val="autoZero"/>
        <c:crossBetween val="midCat"/>
      </c:valAx>
      <c:valAx>
        <c:axId val="8448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699.1</c:v>
                </c:pt>
                <c:pt idx="1">
                  <c:v>752.7</c:v>
                </c:pt>
                <c:pt idx="2" formatCode="0.0">
                  <c:v>799.1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-1</c:v>
                </c:pt>
                <c:pt idx="1">
                  <c:v>-0.98</c:v>
                </c:pt>
                <c:pt idx="2" formatCode="0.00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59968"/>
        <c:axId val="844863232"/>
      </c:scatterChart>
      <c:valAx>
        <c:axId val="84485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63232"/>
        <c:crosses val="autoZero"/>
        <c:crossBetween val="midCat"/>
      </c:valAx>
      <c:valAx>
        <c:axId val="8448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4485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DATOS!$A$61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DATOS!$F$61:$F$63</c:f>
              <c:numCache>
                <c:formatCode>General</c:formatCode>
                <c:ptCount val="3"/>
                <c:pt idx="0">
                  <c:v>699.1</c:v>
                </c:pt>
                <c:pt idx="1">
                  <c:v>752.7</c:v>
                </c:pt>
                <c:pt idx="2" formatCode="0.0">
                  <c:v>799.1</c:v>
                </c:pt>
              </c:numCache>
            </c:numRef>
          </c:xVal>
          <c:yVal>
            <c:numRef>
              <c:f>DATOS!$H$61:$H$63</c:f>
              <c:numCache>
                <c:formatCode>0.000</c:formatCode>
                <c:ptCount val="3"/>
                <c:pt idx="0">
                  <c:v>-1</c:v>
                </c:pt>
                <c:pt idx="1">
                  <c:v>-0.98</c:v>
                </c:pt>
                <c:pt idx="2" formatCode="0.00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61856"/>
        <c:axId val="974660768"/>
      </c:scatterChart>
      <c:valAx>
        <c:axId val="97466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0768"/>
        <c:crosses val="autoZero"/>
        <c:crossBetween val="midCat"/>
      </c:valAx>
      <c:valAx>
        <c:axId val="97466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DATOS!$F$66:$F$68</c:f>
              <c:numCache>
                <c:formatCode>General</c:formatCode>
                <c:ptCount val="3"/>
                <c:pt idx="0" formatCode="0.0">
                  <c:v>15.5</c:v>
                </c:pt>
                <c:pt idx="1">
                  <c:v>24.6</c:v>
                </c:pt>
                <c:pt idx="2">
                  <c:v>33.9</c:v>
                </c:pt>
              </c:numCache>
            </c:numRef>
          </c:xVal>
          <c:yVal>
            <c:numRef>
              <c:f>DATOS!$H$66:$H$68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62400"/>
        <c:axId val="974674912"/>
      </c:scatterChart>
      <c:valAx>
        <c:axId val="97466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74912"/>
        <c:crosses val="autoZero"/>
        <c:crossBetween val="midCat"/>
      </c:valAx>
      <c:valAx>
        <c:axId val="9746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DATOS!$A$69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DATOS!$F$69:$F$71</c:f>
              <c:numCache>
                <c:formatCode>General</c:formatCode>
                <c:ptCount val="3"/>
                <c:pt idx="0">
                  <c:v>32.700000000000003</c:v>
                </c:pt>
                <c:pt idx="1">
                  <c:v>50.7</c:v>
                </c:pt>
                <c:pt idx="2">
                  <c:v>68.099999999999994</c:v>
                </c:pt>
              </c:numCache>
            </c:numRef>
          </c:xVal>
          <c:yVal>
            <c:numRef>
              <c:f>DATOS!$H$69:$H$71</c:f>
              <c:numCache>
                <c:formatCode>#,##0.0</c:formatCode>
                <c:ptCount val="3"/>
                <c:pt idx="0">
                  <c:v>-2.7</c:v>
                </c:pt>
                <c:pt idx="1">
                  <c:v>-0.7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59680"/>
        <c:axId val="974662944"/>
      </c:scatterChart>
      <c:valAx>
        <c:axId val="97465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2944"/>
        <c:crosses val="autoZero"/>
        <c:crossBetween val="midCat"/>
      </c:valAx>
      <c:valAx>
        <c:axId val="9746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5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DATOS!$F$72:$F$74</c:f>
              <c:numCache>
                <c:formatCode>General</c:formatCode>
                <c:ptCount val="3"/>
                <c:pt idx="0" formatCode="0.0">
                  <c:v>699.2</c:v>
                </c:pt>
                <c:pt idx="1">
                  <c:v>752.7</c:v>
                </c:pt>
                <c:pt idx="2">
                  <c:v>799.1</c:v>
                </c:pt>
              </c:numCache>
            </c:numRef>
          </c:xVal>
          <c:yVal>
            <c:numRef>
              <c:f>DATOS!$H$72:$H$74</c:f>
              <c:numCache>
                <c:formatCode>#,##0.00</c:formatCode>
                <c:ptCount val="3"/>
                <c:pt idx="0">
                  <c:v>-1</c:v>
                </c:pt>
                <c:pt idx="1">
                  <c:v>-0.88</c:v>
                </c:pt>
                <c:pt idx="2">
                  <c:v>-0.7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70560"/>
        <c:axId val="974664576"/>
      </c:scatterChart>
      <c:valAx>
        <c:axId val="9746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4576"/>
        <c:crosses val="autoZero"/>
        <c:crossBetween val="midCat"/>
      </c:valAx>
      <c:valAx>
        <c:axId val="9746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DATOS!$A$77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DATOS!$F$77:$F$79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DATOS!$H$77:$H$79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69472"/>
        <c:axId val="974665664"/>
      </c:scatterChart>
      <c:valAx>
        <c:axId val="97466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5664"/>
        <c:crosses val="autoZero"/>
        <c:crossBetween val="midCat"/>
      </c:valAx>
      <c:valAx>
        <c:axId val="9746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DATOS!$A$80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DATOS!$F$80:$F$82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DATOS!$H$80:$H$82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668928"/>
        <c:axId val="974666208"/>
      </c:scatterChart>
      <c:valAx>
        <c:axId val="97466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6208"/>
        <c:crosses val="autoZero"/>
        <c:crossBetween val="midCat"/>
      </c:valAx>
      <c:valAx>
        <c:axId val="9746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7466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DATOS!$A$83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DATOS!$F$83:$F$85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DATOS!$H$83:$H$85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217856"/>
        <c:axId val="868227648"/>
      </c:scatterChart>
      <c:valAx>
        <c:axId val="86821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27648"/>
        <c:crosses val="autoZero"/>
        <c:crossBetween val="midCat"/>
      </c:valAx>
      <c:valAx>
        <c:axId val="8682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8217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file:///\\Abeltran\publico\Logo%20completo.gif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191750" y="86593"/>
          <a:ext cx="1918977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88447</xdr:colOff>
      <xdr:row>58</xdr:row>
      <xdr:rowOff>222250</xdr:rowOff>
    </xdr:from>
    <xdr:to>
      <xdr:col>15</xdr:col>
      <xdr:colOff>1016000</xdr:colOff>
      <xdr:row>62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24947</xdr:colOff>
      <xdr:row>58</xdr:row>
      <xdr:rowOff>222250</xdr:rowOff>
    </xdr:from>
    <xdr:to>
      <xdr:col>17</xdr:col>
      <xdr:colOff>889000</xdr:colOff>
      <xdr:row>62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1090840</xdr:colOff>
      <xdr:row>58</xdr:row>
      <xdr:rowOff>238125</xdr:rowOff>
    </xdr:from>
    <xdr:to>
      <xdr:col>19</xdr:col>
      <xdr:colOff>904876</xdr:colOff>
      <xdr:row>61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43089</xdr:colOff>
      <xdr:row>68</xdr:row>
      <xdr:rowOff>111124</xdr:rowOff>
    </xdr:from>
    <xdr:to>
      <xdr:col>15</xdr:col>
      <xdr:colOff>1016001</xdr:colOff>
      <xdr:row>71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88448</xdr:colOff>
      <xdr:row>68</xdr:row>
      <xdr:rowOff>111124</xdr:rowOff>
    </xdr:from>
    <xdr:to>
      <xdr:col>17</xdr:col>
      <xdr:colOff>904876</xdr:colOff>
      <xdr:row>71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1059090</xdr:colOff>
      <xdr:row>68</xdr:row>
      <xdr:rowOff>111125</xdr:rowOff>
    </xdr:from>
    <xdr:to>
      <xdr:col>19</xdr:col>
      <xdr:colOff>984250</xdr:colOff>
      <xdr:row>71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90714</xdr:colOff>
      <xdr:row>79</xdr:row>
      <xdr:rowOff>190500</xdr:rowOff>
    </xdr:from>
    <xdr:to>
      <xdr:col>15</xdr:col>
      <xdr:colOff>1095375</xdr:colOff>
      <xdr:row>82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70304</xdr:colOff>
      <xdr:row>79</xdr:row>
      <xdr:rowOff>190499</xdr:rowOff>
    </xdr:from>
    <xdr:to>
      <xdr:col>17</xdr:col>
      <xdr:colOff>1063625</xdr:colOff>
      <xdr:row>82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117929</xdr:colOff>
      <xdr:row>79</xdr:row>
      <xdr:rowOff>127000</xdr:rowOff>
    </xdr:from>
    <xdr:to>
      <xdr:col>19</xdr:col>
      <xdr:colOff>984250</xdr:colOff>
      <xdr:row>82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61233</xdr:colOff>
      <xdr:row>90</xdr:row>
      <xdr:rowOff>126999</xdr:rowOff>
    </xdr:from>
    <xdr:to>
      <xdr:col>15</xdr:col>
      <xdr:colOff>1047751</xdr:colOff>
      <xdr:row>93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13608</xdr:colOff>
      <xdr:row>90</xdr:row>
      <xdr:rowOff>111125</xdr:rowOff>
    </xdr:from>
    <xdr:to>
      <xdr:col>17</xdr:col>
      <xdr:colOff>904875</xdr:colOff>
      <xdr:row>93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1047750</xdr:colOff>
      <xdr:row>90</xdr:row>
      <xdr:rowOff>127000</xdr:rowOff>
    </xdr:from>
    <xdr:to>
      <xdr:col>19</xdr:col>
      <xdr:colOff>904875</xdr:colOff>
      <xdr:row>93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83911</xdr:colOff>
      <xdr:row>101</xdr:row>
      <xdr:rowOff>269874</xdr:rowOff>
    </xdr:from>
    <xdr:to>
      <xdr:col>16</xdr:col>
      <xdr:colOff>0</xdr:colOff>
      <xdr:row>105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117929</xdr:colOff>
      <xdr:row>101</xdr:row>
      <xdr:rowOff>269874</xdr:rowOff>
    </xdr:from>
    <xdr:to>
      <xdr:col>17</xdr:col>
      <xdr:colOff>1079500</xdr:colOff>
      <xdr:row>105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72573</xdr:colOff>
      <xdr:row>101</xdr:row>
      <xdr:rowOff>285750</xdr:rowOff>
    </xdr:from>
    <xdr:to>
      <xdr:col>19</xdr:col>
      <xdr:colOff>952501</xdr:colOff>
      <xdr:row>105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170847</xdr:colOff>
      <xdr:row>42</xdr:row>
      <xdr:rowOff>52917</xdr:rowOff>
    </xdr:from>
    <xdr:to>
      <xdr:col>17</xdr:col>
      <xdr:colOff>772584</xdr:colOff>
      <xdr:row>48</xdr:row>
      <xdr:rowOff>21167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178406</xdr:colOff>
      <xdr:row>35</xdr:row>
      <xdr:rowOff>641048</xdr:rowOff>
    </xdr:from>
    <xdr:to>
      <xdr:col>17</xdr:col>
      <xdr:colOff>762000</xdr:colOff>
      <xdr:row>41</xdr:row>
      <xdr:rowOff>222250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78855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A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C000000}"/>
                </a:ext>
              </a:extLst>
            </xdr:cNvPr>
            <xdr:cNvSpPr txBox="1"/>
          </xdr:nvSpPr>
          <xdr:spPr>
            <a:xfrm>
              <a:off x="3815442" y="4417919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D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2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>
          <a:off x="733766" y="19270776"/>
          <a:ext cx="162427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00000000-0008-0000-0200-00002D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E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xmlns="" id="{00000000-0008-0000-0200-00002E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1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200-00002F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2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00000000-0008-0000-0200-000030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3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4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00000000-0008-0000-0200-000032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5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00000000-0008-0000-0200-000033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xmlns="" id="{00000000-0008-0000-0200-00003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A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B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81236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300-000003000000}"/>
                </a:ext>
              </a:extLst>
            </xdr:cNvPr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297639" y="215717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300-000004000000}"/>
                </a:ext>
              </a:extLst>
            </xdr:cNvPr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6158441" y="192976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300-000005000000}"/>
                </a:ext>
              </a:extLst>
            </xdr:cNvPr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253672" y="231352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300-000006000000}"/>
                </a:ext>
              </a:extLst>
            </xdr:cNvPr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335217" y="235267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7000000}"/>
                </a:ext>
              </a:extLst>
            </xdr:cNvPr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299153" y="239865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8000000}"/>
                </a:ext>
              </a:extLst>
            </xdr:cNvPr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5257669" y="244411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5210175" y="248887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5372986" y="253269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300-00000B000000}"/>
                </a:ext>
              </a:extLst>
            </xdr:cNvPr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5247201" y="257819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0C000000}"/>
                </a:ext>
              </a:extLst>
            </xdr:cNvPr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5812630" y="27934422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0D000000}"/>
                </a:ext>
              </a:extLst>
            </xdr:cNvPr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1044395" y="249098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300-00000E000000}"/>
                </a:ext>
              </a:extLst>
            </xdr:cNvPr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1011841" y="244697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300-00000F000000}"/>
                </a:ext>
              </a:extLst>
            </xdr:cNvPr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 flipH="1">
              <a:off x="10986719" y="235904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300-000010000000}"/>
                </a:ext>
              </a:extLst>
            </xdr:cNvPr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1041360" y="258098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300-000011000000}"/>
                </a:ext>
              </a:extLst>
            </xdr:cNvPr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89025" y="240290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985153" y="253496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0955948" y="231973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300-000014000000}"/>
                </a:ext>
              </a:extLst>
            </xdr:cNvPr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11015714" y="263271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300-000015000000}"/>
                </a:ext>
              </a:extLst>
            </xdr:cNvPr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9326336" y="2240612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300-000019000000}"/>
                </a:ext>
              </a:extLst>
            </xdr:cNvPr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3732067" y="227327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300-00001A000000}"/>
                </a:ext>
              </a:extLst>
            </xdr:cNvPr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623457" y="371122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300-00001B000000}"/>
                </a:ext>
              </a:extLst>
            </xdr:cNvPr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619374" y="374895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300-00001C000000}"/>
                </a:ext>
              </a:extLst>
            </xdr:cNvPr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2758167" y="378736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300-00001D000000}"/>
                </a:ext>
              </a:extLst>
            </xdr:cNvPr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2770174" y="382442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300-00001F000000}"/>
                </a:ext>
              </a:extLst>
            </xdr:cNvPr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9111281" y="42054678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14230350" y="41462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00000000-0008-0000-0300-000022000000}"/>
                </a:ext>
              </a:extLst>
            </xdr:cNvPr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173387" y="281513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/>
      </xdr:nvSpPr>
      <xdr:spPr>
        <a:xfrm>
          <a:off x="14249400" y="20031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/>
      </xdr:nvSpPr>
      <xdr:spPr>
        <a:xfrm>
          <a:off x="733766" y="18442101"/>
          <a:ext cx="161665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00000000-0008-0000-0300-00003E000000}"/>
                </a:ext>
              </a:extLst>
            </xdr:cNvPr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2" name="CuadroTexto 61"/>
            <xdr:cNvSpPr txBox="1"/>
          </xdr:nvSpPr>
          <xdr:spPr>
            <a:xfrm>
              <a:off x="1349830" y="18659815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00000000-0008-0000-0300-000041000000}"/>
                </a:ext>
              </a:extLst>
            </xdr:cNvPr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5" name="CuadroTexto 64"/>
            <xdr:cNvSpPr txBox="1"/>
          </xdr:nvSpPr>
          <xdr:spPr>
            <a:xfrm>
              <a:off x="6501447" y="2517355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00000000-0008-0000-0300-000042000000}"/>
                </a:ext>
              </a:extLst>
            </xdr:cNvPr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6582992" y="2556510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xmlns="" id="{00000000-0008-0000-0300-000043000000}"/>
                </a:ext>
              </a:extLst>
            </xdr:cNvPr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7" name="CuadroTexto 66"/>
            <xdr:cNvSpPr txBox="1"/>
          </xdr:nvSpPr>
          <xdr:spPr>
            <a:xfrm>
              <a:off x="6546928" y="2602492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00000000-0008-0000-0300-000044000000}"/>
                </a:ext>
              </a:extLst>
            </xdr:cNvPr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6505444" y="2647950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00000000-0008-0000-0300-000045000000}"/>
                </a:ext>
              </a:extLst>
            </xdr:cNvPr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9" name="CuadroTexto 68"/>
            <xdr:cNvSpPr txBox="1"/>
          </xdr:nvSpPr>
          <xdr:spPr>
            <a:xfrm>
              <a:off x="6457950" y="2692710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xmlns="" id="{00000000-0008-0000-0300-000049000000}"/>
                </a:ext>
              </a:extLst>
            </xdr:cNvPr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4770292" y="2477106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xmlns="" id="{00000000-0008-0000-0300-00004A000000}"/>
                </a:ext>
              </a:extLst>
            </xdr:cNvPr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10558991" y="2019300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xmlns="" id="{00000000-0008-0000-0300-00004B000000}"/>
                </a:ext>
              </a:extLst>
            </xdr:cNvPr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4908346" y="2323414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250031</xdr:colOff>
      <xdr:row>5</xdr:row>
      <xdr:rowOff>595313</xdr:rowOff>
    </xdr:from>
    <xdr:to>
      <xdr:col>24</xdr:col>
      <xdr:colOff>511968</xdr:colOff>
      <xdr:row>12</xdr:row>
      <xdr:rowOff>261937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273844</xdr:colOff>
      <xdr:row>13</xdr:row>
      <xdr:rowOff>202406</xdr:rowOff>
    </xdr:from>
    <xdr:to>
      <xdr:col>24</xdr:col>
      <xdr:colOff>500062</xdr:colOff>
      <xdr:row>20</xdr:row>
      <xdr:rowOff>250031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180976</xdr:colOff>
      <xdr:row>26</xdr:row>
      <xdr:rowOff>37084</xdr:rowOff>
    </xdr:from>
    <xdr:ext cx="2343149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400-000002000000}"/>
                </a:ext>
              </a:extLst>
            </xdr:cNvPr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752976" y="10247884"/>
              <a:ext cx="2343149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𝝏𝑫/𝝏𝑽𝒎𝒊𝒏=−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422406</xdr:colOff>
      <xdr:row>29</xdr:row>
      <xdr:rowOff>8282</xdr:rowOff>
    </xdr:from>
    <xdr:ext cx="1880159" cy="3313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400-000003000000}"/>
                </a:ext>
              </a:extLst>
            </xdr:cNvPr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994406" y="10714382"/>
              <a:ext cx="1880159" cy="331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𝑽𝒎𝒂𝒙𝒍𝒆𝒄=  𝟏/𝒏</a:t>
              </a:r>
              <a:endParaRPr lang="es-CO" sz="9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373865</xdr:colOff>
      <xdr:row>30</xdr:row>
      <xdr:rowOff>46250</xdr:rowOff>
    </xdr:from>
    <xdr:ext cx="1920794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0000000-0008-0000-0400-000004000000}"/>
                </a:ext>
              </a:extLst>
            </xdr:cNvPr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𝑽𝒎𝒊𝒏𝒍𝒆𝒄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945865" y="11133350"/>
              <a:ext cx="1920794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∆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𝑽𝒎𝒊𝒏𝒍𝒆𝒄=  𝟏/𝒏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697334</xdr:colOff>
      <xdr:row>35</xdr:row>
      <xdr:rowOff>37181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00000000-0008-0000-0400-000005000000}"/>
                </a:ext>
              </a:extLst>
            </xdr:cNvPr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𝑽𝑫𝒎𝒆𝒕𝒐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5936084" y="1546768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𝝏𝑫/𝝏𝑽𝑫𝒎𝒆𝒕𝒐=𝟏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444212</xdr:colOff>
      <xdr:row>25</xdr:row>
      <xdr:rowOff>60614</xdr:rowOff>
    </xdr:from>
    <xdr:ext cx="1842654" cy="3532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400-000006000000}"/>
                </a:ext>
              </a:extLst>
            </xdr:cNvPr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𝑽𝒎𝒂𝒙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den>
                    </m:f>
                  </m:oMath>
                </m:oMathPara>
              </a14:m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5682962" y="12681239"/>
              <a:ext cx="1842654" cy="3532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𝝏𝑫/𝝏𝑽𝒎𝒂𝒙=  𝟏/𝒏</a:t>
              </a:r>
              <a:endParaRPr lang="es-CO" sz="800">
                <a:effectLst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800" b="1"/>
            </a:p>
          </xdr:txBody>
        </xdr:sp>
      </mc:Fallback>
    </mc:AlternateContent>
    <xdr:clientData/>
  </xdr:oneCellAnchor>
  <xdr:oneCellAnchor>
    <xdr:from>
      <xdr:col>5</xdr:col>
      <xdr:colOff>734083</xdr:colOff>
      <xdr:row>33</xdr:row>
      <xdr:rowOff>38458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400-000007000000}"/>
                </a:ext>
              </a:extLst>
            </xdr:cNvPr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𝑫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𝑽𝑫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𝒊𝒏𝒉𝒐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5972833" y="14906983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𝝏𝑫/(𝝏𝑽𝑫 𝒊𝒏𝒉𝒐)=𝟏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19</xdr:col>
      <xdr:colOff>183089</xdr:colOff>
      <xdr:row>15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400-000008000000}"/>
                </a:ext>
              </a:extLst>
            </xdr:cNvPr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2984689" y="5693608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400-000009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400-00000A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400-00000E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19</xdr:col>
      <xdr:colOff>212913</xdr:colOff>
      <xdr:row>14</xdr:row>
      <xdr:rowOff>39654</xdr:rowOff>
    </xdr:from>
    <xdr:ext cx="610160" cy="184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400-00000F000000}"/>
                </a:ext>
              </a:extLst>
            </xdr:cNvPr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D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cs typeface="Times New Roman" panose="02020603050405020304" pitchFamily="18" charset="0"/>
                          </a:rPr>
                          <m:t>𝒑𝒓𝒐𝒎</m:t>
                        </m:r>
                      </m:sub>
                    </m:sSub>
                  </m:oMath>
                </m:oMathPara>
              </a14:m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13014513" y="5297454"/>
              <a:ext cx="610160" cy="184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〖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"s  D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〗_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cs typeface="Times New Roman" panose="02020603050405020304" pitchFamily="18" charset="0"/>
                </a:rPr>
                <a:t>𝒑𝒓𝒐𝒎</a:t>
              </a:r>
              <a:endParaRPr lang="es-CO" sz="1100" b="1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275905</xdr:colOff>
      <xdr:row>31</xdr:row>
      <xdr:rowOff>95250</xdr:rowOff>
    </xdr:from>
    <xdr:ext cx="2540773" cy="284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400-000010000000}"/>
                </a:ext>
              </a:extLst>
            </xdr:cNvPr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11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11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371405" y="14355536"/>
              <a:ext cx="2540773" cy="28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1100" b="1" i="0">
                  <a:effectLst/>
                </a:rPr>
                <a:t> </a:t>
              </a:r>
              <a:r>
                <a:rPr lang="es-CO" sz="11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20</xdr:col>
      <xdr:colOff>191239</xdr:colOff>
      <xdr:row>18</xdr:row>
      <xdr:rowOff>85618</xdr:rowOff>
    </xdr:from>
    <xdr:ext cx="52581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400-000012000000}"/>
                </a:ext>
              </a:extLst>
            </xdr:cNvPr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2992839" y="6867418"/>
              <a:ext cx="52581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∆𝑽_𝑴𝒂𝒙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400-000013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197261</xdr:colOff>
      <xdr:row>19</xdr:row>
      <xdr:rowOff>64214</xdr:rowOff>
    </xdr:from>
    <xdr:ext cx="487684" cy="226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400-000018000000}"/>
                </a:ext>
              </a:extLst>
            </xdr:cNvPr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bg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∆</m:t>
                    </m:r>
                    <m:sSub>
                      <m:sSubPr>
                        <m:ctrlP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𝑀𝑖𝑛</m:t>
                        </m:r>
                      </m:sub>
                    </m:sSub>
                  </m:oMath>
                </m:oMathPara>
              </a14:m>
              <a:endParaRPr lang="es-CO" sz="1100" b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12998861" y="7227014"/>
              <a:ext cx="487684" cy="226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∆𝑉_𝑀𝑖𝑛</a:t>
              </a:r>
              <a:endParaRPr lang="es-CO" sz="1100" b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269421</xdr:colOff>
      <xdr:row>44</xdr:row>
      <xdr:rowOff>299357</xdr:rowOff>
    </xdr:from>
    <xdr:ext cx="9007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400-000019000000}"/>
                </a:ext>
              </a:extLst>
            </xdr:cNvPr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2364921" y="20206607"/>
              <a:ext cx="9007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𝒎𝒂𝒙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408644</xdr:colOff>
      <xdr:row>47</xdr:row>
      <xdr:rowOff>257176</xdr:rowOff>
    </xdr:from>
    <xdr:ext cx="4653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400-00001B000000}"/>
                </a:ext>
              </a:extLst>
            </xdr:cNvPr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𝒊𝒏𝒉𝒐</m:t>
                        </m:r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2504144" y="21674819"/>
              <a:ext cx="4653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𝒊𝒏𝒉𝒐 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401984</xdr:colOff>
      <xdr:row>48</xdr:row>
      <xdr:rowOff>165505</xdr:rowOff>
    </xdr:from>
    <xdr:ext cx="1635291" cy="325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400-00001C000000}"/>
                </a:ext>
              </a:extLst>
            </xdr:cNvPr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000" b="1" i="1">
                        <a:latin typeface="Cambria Math" panose="02040503050406030204" pitchFamily="18" charset="0"/>
                      </a:rPr>
                      <m:t>𝒖</m:t>
                    </m:r>
                    <m:d>
                      <m:d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∆</m:t>
                            </m:r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𝒎𝒆𝒕</m:t>
                            </m:r>
                          </m:sub>
                        </m:sSub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d>
                    <m:r>
                      <a:rPr lang="es-CO" sz="1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s-CO" sz="1000" b="1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𝑫</m:t>
                            </m:r>
                          </m:e>
                          <m:sub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𝒑𝒓𝒐𝒎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000" b="1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CO" sz="1000" b="1" i="1">
                                <a:latin typeface="Cambria Math" panose="02040503050406030204" pitchFamily="18" charset="0"/>
                              </a:rPr>
                              <m:t>𝑵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000" b="1" i="1" baseline="-250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449734" y="22086612"/>
              <a:ext cx="1635291" cy="325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000" b="1" i="0">
                  <a:latin typeface="Cambria Math" panose="02040503050406030204" pitchFamily="18" charset="0"/>
                </a:rPr>
                <a:t>𝒖(〖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∆𝑫〗_</a:t>
              </a:r>
              <a:r>
                <a:rPr lang="es-CO" sz="1000" b="1" i="0">
                  <a:latin typeface="Cambria Math" panose="02040503050406030204" pitchFamily="18" charset="0"/>
                </a:rPr>
                <a:t>𝒎𝒆𝒕  )=(𝒔(𝑫_𝒑𝒓𝒐𝒎)/√𝑵</a:t>
              </a:r>
              <a:endParaRPr lang="es-CO" sz="1000" b="1" i="1" baseline="-25000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400-00001D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351066</xdr:colOff>
      <xdr:row>8</xdr:row>
      <xdr:rowOff>232683</xdr:rowOff>
    </xdr:from>
    <xdr:ext cx="1690006" cy="6708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400-000025000000}"/>
                </a:ext>
              </a:extLst>
            </xdr:cNvPr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14:m>
                <m:oMath xmlns:m="http://schemas.openxmlformats.org/officeDocument/2006/math">
                  <m:f>
                    <m:f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𝒚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𝟐</m:t>
                          </m:r>
                        </m:sub>
                      </m:s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 − </m:t>
                      </m:r>
                      <m:sSub>
                        <m:sSubPr>
                          <m:ctrlP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3000" b="1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𝟏</m:t>
                          </m:r>
                        </m:sub>
                      </m:sSub>
                    </m:den>
                  </m:f>
                </m:oMath>
              </a14:m>
              <a:endParaRPr lang="es-CO" sz="3000" b="1" i="1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6751866" y="3204483"/>
              <a:ext cx="1690006" cy="670889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3000" b="1" i="1" baseline="0">
                  <a:solidFill>
                    <a:schemeClr val="bg1"/>
                  </a:solidFill>
                </a:rPr>
                <a:t>m =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(𝒚_𝟐  − 𝒚_𝟏)/(𝒙_𝟐  − 𝒙_𝟏 )</a:t>
              </a:r>
              <a:endParaRPr lang="es-CO" sz="3000" b="1" i="1"/>
            </a:p>
          </xdr:txBody>
        </xdr:sp>
      </mc:Fallback>
    </mc:AlternateContent>
    <xdr:clientData/>
  </xdr:oneCellAnchor>
  <xdr:oneCellAnchor>
    <xdr:from>
      <xdr:col>11</xdr:col>
      <xdr:colOff>692610</xdr:colOff>
      <xdr:row>7</xdr:row>
      <xdr:rowOff>69396</xdr:rowOff>
    </xdr:from>
    <xdr:ext cx="3192221" cy="4696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400-000026000000}"/>
                </a:ext>
              </a:extLst>
            </xdr:cNvPr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𝒚</m:t>
                  </m:r>
                  <m:r>
                    <a:rPr lang="es-CO" sz="3000" b="1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𝒚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𝒙</m:t>
                      </m:r>
                    </m:e>
                    <m:sub>
                      <m:r>
                        <a:rPr lang="es-CO" sz="3000" b="1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</m:oMath>
              </a14:m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6179010" y="2660196"/>
              <a:ext cx="3192221" cy="469616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𝒚= 𝒚_𝟏</a:t>
              </a:r>
              <a:r>
                <a:rPr lang="es-CO" sz="3000" b="1" i="1">
                  <a:solidFill>
                    <a:schemeClr val="bg1"/>
                  </a:solidFill>
                </a:rPr>
                <a:t> + m (x - </a:t>
              </a:r>
              <a:r>
                <a:rPr lang="es-CO" sz="30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𝒙_𝟏</a:t>
              </a:r>
              <a:r>
                <a:rPr lang="es-CO" sz="3000" b="1" i="1">
                  <a:solidFill>
                    <a:schemeClr val="bg1"/>
                  </a:solidFill>
                </a:rPr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298850</xdr:colOff>
      <xdr:row>49</xdr:row>
      <xdr:rowOff>102964</xdr:rowOff>
    </xdr:from>
    <xdr:ext cx="1415649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400-00002A000000}"/>
                </a:ext>
              </a:extLst>
            </xdr:cNvPr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𝒔𝒑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𝑽𝒔𝒑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9442850" y="16104964"/>
              <a:ext cx="1415649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(𝑽_𝒔𝒑)∑_𝒊▒(𝝏𝑽𝒔𝒑/𝝏𝒙𝒊(𝒙𝒊))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2</xdr:col>
      <xdr:colOff>262756</xdr:colOff>
      <xdr:row>33</xdr:row>
      <xdr:rowOff>122976</xdr:rowOff>
    </xdr:from>
    <xdr:ext cx="2023243" cy="250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xmlns="" id="{00000000-0008-0000-0400-00002C000000}"/>
                </a:ext>
              </a:extLst>
            </xdr:cNvPr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V</m:t>
                      </m:r>
                    </m:e>
                    <m:sub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𝑴𝒂𝒙</m:t>
                      </m:r>
                    </m:sub>
                  </m:sSub>
                </m:oMath>
              </a14:m>
              <a:r>
                <a:rPr lang="es-CO" sz="800" b="1"/>
                <a:t>) =</a:t>
              </a:r>
              <a:r>
                <a:rPr lang="es-CO" sz="800" b="1" baseline="0"/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bSup>
                        <m:sSubSupPr>
                          <m:ctrlPr>
                            <a:rPr lang="es-CO" sz="800" b="1" i="1" baseline="0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b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𝒄𝒂𝒍</m:t>
                          </m:r>
                        </m:sub>
                        <m:sup>
                          <m:r>
                            <a:rPr lang="es-CO" sz="800" b="1" i="1" baseline="0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e>
                  </m:rad>
                  <m:r>
                    <a:rPr lang="es-CO" sz="800" b="1" i="1" baseline="0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800" b="1" i="1" baseline="0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800" b="1" i="1" baseline="0">
                          <a:latin typeface="Cambria Math" panose="02040503050406030204" pitchFamily="18" charset="0"/>
                        </a:rPr>
                        <m:t>𝒔𝒑</m:t>
                      </m:r>
                    </m:sub>
                  </m:sSub>
                  <m:r>
                    <a:rPr lang="es-CO" sz="800" b="1" i="1" baseline="0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800" b="1"/>
                <a:t> + </a:t>
              </a:r>
              <a14:m>
                <m:oMath xmlns:m="http://schemas.openxmlformats.org/officeDocument/2006/math">
                  <m:sSup>
                    <m:sSupPr>
                      <m:ctrlPr>
                        <a:rPr lang="es-CO" sz="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f>
                        <m:fPr>
                          <m:ctrlP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𝑴𝒂𝒙</m:t>
                              </m:r>
                            </m:sub>
                          </m:sSub>
                          <m:r>
                            <a:rPr lang="es-CO" sz="8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𝑬</m:t>
                              </m:r>
                            </m:e>
                            <m:sub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𝑴𝒊𝒏</m:t>
                              </m:r>
                            </m:sub>
                          </m:sSub>
                        </m:num>
                        <m:den>
                          <m:rad>
                            <m:radPr>
                              <m:degHide m:val="on"/>
                              <m:ctrlP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es-CO" sz="8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𝟏𝟐</m:t>
                              </m:r>
                            </m:e>
                          </m:rad>
                        </m:den>
                      </m:f>
                      <m:r>
                        <m:rPr>
                          <m:nor/>
                        </m:rPr>
                        <a:rPr lang="es-CO" sz="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s-CO" sz="800" b="1">
                          <a:effectLst/>
                        </a:rPr>
                        <m:t> </m:t>
                      </m:r>
                    </m:e>
                    <m:sup>
                      <m:r>
                        <a:rPr lang="es-CO" sz="8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</m:oMath>
              </a14:m>
              <a:endParaRPr lang="es-CO" sz="800" b="1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2358256" y="14941155"/>
              <a:ext cx="2023243" cy="250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800" b="1"/>
                <a:t>u 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"V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_</a:t>
              </a:r>
              <a:r>
                <a:rPr lang="es-CO" sz="800" b="1" i="0">
                  <a:latin typeface="Cambria Math" panose="02040503050406030204" pitchFamily="18" charset="0"/>
                </a:rPr>
                <a:t>𝑴𝒂𝒙</a:t>
              </a:r>
              <a:r>
                <a:rPr lang="es-CO" sz="800" b="1"/>
                <a:t>) =</a:t>
              </a:r>
              <a:r>
                <a:rPr lang="es-CO" sz="800" b="1" baseline="0"/>
                <a:t> </a:t>
              </a:r>
              <a:r>
                <a:rPr lang="es-CO" sz="800" b="1" i="0" baseline="0">
                  <a:latin typeface="Cambria Math" panose="02040503050406030204" pitchFamily="18" charset="0"/>
                </a:rPr>
                <a:t>√(𝒖_𝒄𝒂𝒍^𝟐 )(𝑽_𝒔𝒑)</a:t>
              </a:r>
              <a:r>
                <a:rPr lang="es-CO" sz="800" b="1"/>
                <a:t> + </a:t>
              </a:r>
              <a:r>
                <a:rPr lang="es-CO" sz="800" b="1" i="0">
                  <a:latin typeface="Cambria Math" panose="02040503050406030204" pitchFamily="18" charset="0"/>
                </a:rPr>
                <a:t>〖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"(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(𝑬_𝑴𝒂𝒙  − 𝑬_𝑴𝒊𝒏)/√𝟏𝟐</a:t>
              </a:r>
              <a:r>
                <a:rPr lang="es-CO" sz="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")</a:t>
              </a:r>
              <a:r>
                <a:rPr lang="es-CO" sz="800" b="1" i="0">
                  <a:effectLst/>
                </a:rPr>
                <a:t> </a:t>
              </a:r>
              <a:r>
                <a:rPr lang="es-CO" sz="8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s-CO" sz="800" b="1" i="0">
                  <a:latin typeface="Cambria Math" panose="02040503050406030204" pitchFamily="18" charset="0"/>
                </a:rPr>
                <a:t>𝟐</a:t>
              </a:r>
              <a:endParaRPr lang="es-CO" sz="800" b="1"/>
            </a:p>
          </xdr:txBody>
        </xdr:sp>
      </mc:Fallback>
    </mc:AlternateContent>
    <xdr:clientData/>
  </xdr:oneCellAnchor>
  <xdr:oneCellAnchor>
    <xdr:from>
      <xdr:col>2</xdr:col>
      <xdr:colOff>404197</xdr:colOff>
      <xdr:row>43</xdr:row>
      <xdr:rowOff>231322</xdr:rowOff>
    </xdr:from>
    <xdr:ext cx="57551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00000000-0008-0000-0400-00002D000000}"/>
                </a:ext>
              </a:extLst>
            </xdr:cNvPr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</a:rPr>
                        <m:t>𝒎𝒊𝒏</m:t>
                      </m:r>
                    </m:sub>
                  </m:sSub>
                </m:oMath>
              </a14:m>
              <a:r>
                <a:rPr lang="es-CO" sz="1100" b="1"/>
                <a:t>)</a:t>
              </a:r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2499697" y="19635108"/>
              <a:ext cx="57551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/>
                <a:t>u (</a:t>
              </a:r>
              <a:r>
                <a:rPr lang="es-CO" sz="1100" b="1" i="0">
                  <a:latin typeface="Cambria Math" panose="02040503050406030204" pitchFamily="18" charset="0"/>
                </a:rPr>
                <a:t>𝑽_𝒎𝒊𝒏</a:t>
              </a:r>
              <a:r>
                <a:rPr lang="es-CO" sz="1100" b="1"/>
                <a:t>)</a:t>
              </a:r>
            </a:p>
          </xdr:txBody>
        </xdr:sp>
      </mc:Fallback>
    </mc:AlternateContent>
    <xdr:clientData/>
  </xdr:oneCellAnchor>
  <xdr:oneCellAnchor>
    <xdr:from>
      <xdr:col>20</xdr:col>
      <xdr:colOff>134471</xdr:colOff>
      <xdr:row>17</xdr:row>
      <xdr:rowOff>123265</xdr:rowOff>
    </xdr:from>
    <xdr:ext cx="68131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00000000-0008-0000-0400-00002F000000}"/>
                </a:ext>
              </a:extLst>
            </xdr:cNvPr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100" b="1" i="1">
                                <a:solidFill>
                                  <a:schemeClr val="bg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7" name="CuadroTexto 46"/>
            <xdr:cNvSpPr txBox="1"/>
          </xdr:nvSpPr>
          <xdr:spPr>
            <a:xfrm>
              <a:off x="12936071" y="6524065"/>
              <a:ext cx="68131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 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316673</xdr:colOff>
      <xdr:row>42</xdr:row>
      <xdr:rowOff>217716</xdr:rowOff>
    </xdr:from>
    <xdr:ext cx="6222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00000000-0008-0000-0400-000030000000}"/>
                </a:ext>
              </a:extLst>
            </xdr:cNvPr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1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11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𝒎𝒂𝒙</m:t>
                          </m:r>
                        </m:sub>
                      </m:sSub>
                    </m:e>
                  </m:d>
                </m:oMath>
              </a14:m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48" name="CuadroTexto 47"/>
            <xdr:cNvSpPr txBox="1"/>
          </xdr:nvSpPr>
          <xdr:spPr>
            <a:xfrm>
              <a:off x="2412173" y="19118037"/>
              <a:ext cx="6222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(𝑽_𝒎𝒂𝒙 )</a:t>
              </a:r>
              <a:endParaRPr lang="es-CO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17</xdr:col>
      <xdr:colOff>342141</xdr:colOff>
      <xdr:row>9</xdr:row>
      <xdr:rowOff>163285</xdr:rowOff>
    </xdr:from>
    <xdr:ext cx="3926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400-000031000000}"/>
                </a:ext>
              </a:extLst>
            </xdr:cNvPr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𝑴𝒂𝒙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9" name="CuadroTexto 48"/>
            <xdr:cNvSpPr txBox="1"/>
          </xdr:nvSpPr>
          <xdr:spPr>
            <a:xfrm>
              <a:off x="18153891" y="4694464"/>
              <a:ext cx="3926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𝑽_𝑴𝒂𝒙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18</xdr:col>
      <xdr:colOff>199398</xdr:colOff>
      <xdr:row>9</xdr:row>
      <xdr:rowOff>174955</xdr:rowOff>
    </xdr:from>
    <xdr:ext cx="68131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00000000-0008-0000-0400-000032000000}"/>
                </a:ext>
              </a:extLst>
            </xdr:cNvPr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𝑴𝒊𝒏</m:t>
                        </m:r>
                      </m:sub>
                    </m:sSub>
                  </m:oMath>
                </m:oMathPara>
              </a14:m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0" name="CuadroTexto 49"/>
            <xdr:cNvSpPr txBox="1"/>
          </xdr:nvSpPr>
          <xdr:spPr>
            <a:xfrm>
              <a:off x="19058898" y="4706134"/>
              <a:ext cx="68131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𝑽_𝑴𝒊𝒏</a:t>
              </a:r>
              <a:endParaRPr lang="es-CO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16</xdr:col>
      <xdr:colOff>398346</xdr:colOff>
      <xdr:row>18</xdr:row>
      <xdr:rowOff>232833</xdr:rowOff>
    </xdr:from>
    <xdr:ext cx="2501487" cy="4435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00000000-0008-0000-0400-000033000000}"/>
                </a:ext>
              </a:extLst>
            </xdr:cNvPr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𝑴𝒂𝒙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−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𝑴𝒊𝒏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𝟏𝟐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1" name="CuadroTexto 50"/>
            <xdr:cNvSpPr txBox="1"/>
          </xdr:nvSpPr>
          <xdr:spPr>
            <a:xfrm>
              <a:off x="17162346" y="7355416"/>
              <a:ext cx="2501487" cy="443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(𝑬_𝑴𝒂𝒙  − 𝑬_𝑴𝒊𝒏)/√𝟏𝟐</a:t>
              </a:r>
              <a:endParaRPr lang="es-CO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516714</xdr:colOff>
      <xdr:row>46</xdr:row>
      <xdr:rowOff>300465</xdr:rowOff>
    </xdr:from>
    <xdr:ext cx="4136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xmlns="" id="{00000000-0008-0000-0400-000036000000}"/>
                </a:ext>
              </a:extLst>
            </xdr:cNvPr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4" name="CuadroTexto 53"/>
            <xdr:cNvSpPr txBox="1"/>
          </xdr:nvSpPr>
          <xdr:spPr>
            <a:xfrm>
              <a:off x="2612214" y="21214644"/>
              <a:ext cx="4136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∆𝑽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〗_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12</xdr:col>
      <xdr:colOff>323850</xdr:colOff>
      <xdr:row>49</xdr:row>
      <xdr:rowOff>109537</xdr:rowOff>
    </xdr:from>
    <xdr:ext cx="3458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id="{00000000-0008-0000-0400-000039000000}"/>
                </a:ext>
              </a:extLst>
            </xdr:cNvPr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𝑫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7" name="CuadroTexto 56"/>
            <xdr:cNvSpPr txBox="1"/>
          </xdr:nvSpPr>
          <xdr:spPr>
            <a:xfrm>
              <a:off x="11296650" y="16111537"/>
              <a:ext cx="3458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𝒖(𝑫)</a:t>
              </a:r>
              <a:endParaRPr lang="es-CO" sz="1100" b="1"/>
            </a:p>
          </xdr:txBody>
        </xdr:sp>
      </mc:Fallback>
    </mc:AlternateContent>
    <xdr:clientData/>
  </xdr:oneCellAnchor>
  <xdr:twoCellAnchor>
    <xdr:from>
      <xdr:col>0</xdr:col>
      <xdr:colOff>314325</xdr:colOff>
      <xdr:row>0</xdr:row>
      <xdr:rowOff>76200</xdr:rowOff>
    </xdr:from>
    <xdr:to>
      <xdr:col>2</xdr:col>
      <xdr:colOff>573792</xdr:colOff>
      <xdr:row>0</xdr:row>
      <xdr:rowOff>905435</xdr:rowOff>
    </xdr:to>
    <xdr:pic>
      <xdr:nvPicPr>
        <xdr:cNvPr id="59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4325" y="76200"/>
          <a:ext cx="2088267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1009650</xdr:colOff>
      <xdr:row>12</xdr:row>
      <xdr:rowOff>485775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CxnSpPr/>
      </xdr:nvCxnSpPr>
      <xdr:spPr>
        <a:xfrm flipV="1">
          <a:off x="12582525" y="5124450"/>
          <a:ext cx="3095625" cy="15144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408644</xdr:colOff>
      <xdr:row>61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2504144" y="276591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39</xdr:row>
      <xdr:rowOff>89014</xdr:rowOff>
    </xdr:from>
    <xdr:to>
      <xdr:col>8</xdr:col>
      <xdr:colOff>241185</xdr:colOff>
      <xdr:row>41</xdr:row>
      <xdr:rowOff>28576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907" t="24203" r="3198" b="66560"/>
        <a:stretch/>
      </xdr:blipFill>
      <xdr:spPr bwMode="auto">
        <a:xfrm>
          <a:off x="495300" y="9290164"/>
          <a:ext cx="5108460" cy="3967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55109</xdr:colOff>
      <xdr:row>49</xdr:row>
      <xdr:rowOff>104098</xdr:rowOff>
    </xdr:from>
    <xdr:to>
      <xdr:col>1</xdr:col>
      <xdr:colOff>274184</xdr:colOff>
      <xdr:row>50</xdr:row>
      <xdr:rowOff>154785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3" t="26282" r="84860" b="67474"/>
        <a:stretch>
          <a:fillRect/>
        </a:stretch>
      </xdr:blipFill>
      <xdr:spPr bwMode="auto">
        <a:xfrm>
          <a:off x="476930" y="9493027"/>
          <a:ext cx="219075" cy="28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</xdr:colOff>
      <xdr:row>51</xdr:row>
      <xdr:rowOff>176892</xdr:rowOff>
    </xdr:from>
    <xdr:ext cx="325755" cy="218795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7724" r="76804" b="66879"/>
        <a:stretch>
          <a:fillRect/>
        </a:stretch>
      </xdr:blipFill>
      <xdr:spPr bwMode="auto">
        <a:xfrm>
          <a:off x="431346" y="10028463"/>
          <a:ext cx="325755" cy="2187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421821</xdr:colOff>
      <xdr:row>53</xdr:row>
      <xdr:rowOff>134364</xdr:rowOff>
    </xdr:from>
    <xdr:ext cx="325755" cy="238124"/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9" t="26923" r="72009" b="67484"/>
        <a:stretch>
          <a:fillRect/>
        </a:stretch>
      </xdr:blipFill>
      <xdr:spPr bwMode="auto">
        <a:xfrm>
          <a:off x="421821" y="10414560"/>
          <a:ext cx="325755" cy="2381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19049</xdr:colOff>
      <xdr:row>55</xdr:row>
      <xdr:rowOff>183696</xdr:rowOff>
    </xdr:from>
    <xdr:ext cx="314325" cy="262468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0917" t="27092" r="66112" b="66954"/>
        <a:stretch/>
      </xdr:blipFill>
      <xdr:spPr bwMode="auto">
        <a:xfrm>
          <a:off x="440870" y="10892517"/>
          <a:ext cx="314325" cy="262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0</xdr:colOff>
      <xdr:row>58</xdr:row>
      <xdr:rowOff>0</xdr:rowOff>
    </xdr:from>
    <xdr:to>
      <xdr:col>1</xdr:col>
      <xdr:colOff>304800</xdr:colOff>
      <xdr:row>59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97" t="26598" r="60135" b="68105"/>
        <a:stretch>
          <a:fillRect/>
        </a:stretch>
      </xdr:blipFill>
      <xdr:spPr bwMode="auto">
        <a:xfrm>
          <a:off x="419100" y="14325600"/>
          <a:ext cx="3048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400051</xdr:colOff>
      <xdr:row>59</xdr:row>
      <xdr:rowOff>123825</xdr:rowOff>
    </xdr:from>
    <xdr:ext cx="409574" cy="322791"/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4791" b="66789"/>
        <a:stretch>
          <a:fillRect/>
        </a:stretch>
      </xdr:blipFill>
      <xdr:spPr bwMode="auto">
        <a:xfrm>
          <a:off x="400051" y="14658975"/>
          <a:ext cx="409574" cy="32279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28576</xdr:colOff>
      <xdr:row>62</xdr:row>
      <xdr:rowOff>9525</xdr:rowOff>
    </xdr:from>
    <xdr:ext cx="353060" cy="195792"/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0" t="28040" r="39955" b="67065"/>
        <a:stretch>
          <a:fillRect/>
        </a:stretch>
      </xdr:blipFill>
      <xdr:spPr bwMode="auto">
        <a:xfrm>
          <a:off x="447676" y="15173325"/>
          <a:ext cx="353060" cy="19579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66676</xdr:colOff>
      <xdr:row>63</xdr:row>
      <xdr:rowOff>200025</xdr:rowOff>
    </xdr:from>
    <xdr:ext cx="171450" cy="190499"/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8366" b="68909"/>
        <a:stretch>
          <a:fillRect/>
        </a:stretch>
      </xdr:blipFill>
      <xdr:spPr bwMode="auto">
        <a:xfrm>
          <a:off x="485776" y="15573375"/>
          <a:ext cx="171450" cy="190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1362</xdr:colOff>
      <xdr:row>47</xdr:row>
      <xdr:rowOff>40826</xdr:rowOff>
    </xdr:from>
    <xdr:ext cx="304800" cy="244474"/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76" t="26472" r="90088" b="67694"/>
        <a:stretch/>
      </xdr:blipFill>
      <xdr:spPr bwMode="auto">
        <a:xfrm>
          <a:off x="423183" y="9001130"/>
          <a:ext cx="304800" cy="244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69</xdr:row>
      <xdr:rowOff>133350</xdr:rowOff>
    </xdr:from>
    <xdr:ext cx="378459" cy="407318"/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0522" t="25661" r="3198" b="67370"/>
        <a:stretch/>
      </xdr:blipFill>
      <xdr:spPr bwMode="auto">
        <a:xfrm>
          <a:off x="431346" y="13842546"/>
          <a:ext cx="378459" cy="40731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9525</xdr:colOff>
      <xdr:row>65</xdr:row>
      <xdr:rowOff>142874</xdr:rowOff>
    </xdr:from>
    <xdr:ext cx="390525" cy="322793"/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3767" t="26471" r="19752" b="66560"/>
        <a:stretch/>
      </xdr:blipFill>
      <xdr:spPr bwMode="auto">
        <a:xfrm>
          <a:off x="428625" y="15935324"/>
          <a:ext cx="390525" cy="32279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413656</xdr:colOff>
      <xdr:row>67</xdr:row>
      <xdr:rowOff>117021</xdr:rowOff>
    </xdr:from>
    <xdr:ext cx="400050" cy="304800"/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2144" t="25661" r="11217" b="67371"/>
        <a:stretch/>
      </xdr:blipFill>
      <xdr:spPr bwMode="auto">
        <a:xfrm>
          <a:off x="413656" y="13397592"/>
          <a:ext cx="400050" cy="304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191"/>
  <sheetViews>
    <sheetView showGridLines="0" view="pageBreakPreview" topLeftCell="A49" zoomScale="80" zoomScaleNormal="50" zoomScaleSheetLayoutView="80" workbookViewId="0">
      <selection activeCell="F51" sqref="F51"/>
    </sheetView>
  </sheetViews>
  <sheetFormatPr baseColWidth="10" defaultColWidth="15.7109375" defaultRowHeight="35.1" customHeight="1" x14ac:dyDescent="0.2"/>
  <cols>
    <col min="1" max="4" width="15.7109375" style="393"/>
    <col min="5" max="5" width="19.140625" style="393" customWidth="1"/>
    <col min="6" max="9" width="15.7109375" style="393"/>
    <col min="10" max="11" width="16.5703125" style="393" customWidth="1"/>
    <col min="12" max="12" width="20.42578125" style="393" customWidth="1"/>
    <col min="13" max="14" width="16.5703125" style="393" customWidth="1"/>
    <col min="15" max="15" width="15.7109375" style="393"/>
    <col min="16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436" t="s">
        <v>358</v>
      </c>
      <c r="F1" s="1437"/>
      <c r="G1" s="1437"/>
      <c r="H1" s="1437"/>
      <c r="I1" s="1437"/>
      <c r="J1" s="1437"/>
      <c r="K1" s="1437"/>
      <c r="L1" s="1437"/>
      <c r="M1" s="1438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T3" s="393"/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T4" s="393"/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439" t="s">
        <v>322</v>
      </c>
      <c r="E5" s="1440"/>
      <c r="F5" s="1440"/>
      <c r="G5" s="1440"/>
      <c r="H5" s="1440"/>
      <c r="I5" s="1440"/>
      <c r="J5" s="1440"/>
      <c r="K5" s="1440"/>
      <c r="L5" s="1441"/>
      <c r="T5" s="393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371" t="s">
        <v>248</v>
      </c>
      <c r="E6" s="370" t="s">
        <v>52</v>
      </c>
      <c r="F6" s="372" t="s">
        <v>323</v>
      </c>
      <c r="G6" s="372" t="s">
        <v>203</v>
      </c>
      <c r="H6" s="372" t="s">
        <v>29</v>
      </c>
      <c r="I6" s="372" t="s">
        <v>204</v>
      </c>
      <c r="J6" s="58" t="s">
        <v>51</v>
      </c>
      <c r="K6" s="58" t="s">
        <v>38</v>
      </c>
      <c r="L6" s="82" t="s">
        <v>205</v>
      </c>
      <c r="Q6" s="1424" t="s">
        <v>256</v>
      </c>
      <c r="R6" s="1425"/>
      <c r="S6" s="1425"/>
      <c r="T6" s="1425"/>
      <c r="U6" s="1425"/>
      <c r="V6" s="1426"/>
      <c r="W6" s="393"/>
      <c r="X6" s="393"/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402"/>
      <c r="I7" s="402"/>
      <c r="J7" s="402"/>
      <c r="K7" s="402"/>
      <c r="L7" s="403"/>
      <c r="Q7" s="404" t="s">
        <v>248</v>
      </c>
      <c r="R7" s="1442" t="s">
        <v>260</v>
      </c>
      <c r="S7" s="1443"/>
      <c r="T7" s="1443"/>
      <c r="U7" s="1443"/>
      <c r="V7" s="1444"/>
      <c r="W7" s="393"/>
      <c r="X7" s="393"/>
      <c r="Y7" s="405"/>
      <c r="AD7" s="398"/>
      <c r="AV7" s="406"/>
      <c r="BE7" s="390"/>
    </row>
    <row r="8" spans="1:94" s="407" customFormat="1" ht="30" customHeight="1" x14ac:dyDescent="0.2">
      <c r="B8" s="393"/>
      <c r="C8" s="393"/>
      <c r="D8" s="408">
        <v>1</v>
      </c>
      <c r="E8" s="409" t="s">
        <v>414</v>
      </c>
      <c r="F8" s="410">
        <v>43291</v>
      </c>
      <c r="G8" s="411" t="s">
        <v>415</v>
      </c>
      <c r="H8" s="410">
        <v>43291</v>
      </c>
      <c r="I8" s="409" t="s">
        <v>416</v>
      </c>
      <c r="J8" s="409" t="s">
        <v>417</v>
      </c>
      <c r="K8" s="409"/>
      <c r="L8" s="412"/>
      <c r="M8" s="393"/>
      <c r="N8" s="393"/>
      <c r="O8" s="393"/>
      <c r="P8" s="393"/>
      <c r="Q8" s="413"/>
      <c r="R8" s="1445"/>
      <c r="S8" s="1446"/>
      <c r="T8" s="1447"/>
      <c r="U8" s="1448"/>
      <c r="V8" s="1449"/>
      <c r="W8" s="393"/>
      <c r="X8" s="393"/>
      <c r="Y8" s="393"/>
      <c r="AC8" s="393"/>
      <c r="AD8" s="393"/>
      <c r="AE8" s="393"/>
      <c r="AF8" s="393"/>
      <c r="AG8" s="393"/>
      <c r="AH8" s="393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416"/>
      <c r="I9" s="415"/>
      <c r="J9" s="415"/>
      <c r="K9" s="415"/>
      <c r="L9" s="417"/>
      <c r="M9" s="393"/>
      <c r="N9" s="393"/>
      <c r="O9" s="393"/>
      <c r="P9" s="393"/>
      <c r="Q9" s="418" t="s">
        <v>318</v>
      </c>
      <c r="R9" s="419" t="s">
        <v>259</v>
      </c>
      <c r="S9" s="420"/>
      <c r="T9" s="421" t="s">
        <v>316</v>
      </c>
      <c r="U9" s="422"/>
      <c r="V9" s="423"/>
      <c r="W9" s="393"/>
      <c r="X9" s="393"/>
      <c r="AC9" s="393"/>
      <c r="AD9" s="398"/>
      <c r="AE9" s="393"/>
      <c r="AF9" s="393"/>
      <c r="AG9" s="393"/>
      <c r="AH9" s="393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393"/>
      <c r="Q10" s="418" t="s">
        <v>319</v>
      </c>
      <c r="R10" s="419" t="s">
        <v>172</v>
      </c>
      <c r="S10" s="420"/>
      <c r="T10" s="420" t="s">
        <v>317</v>
      </c>
      <c r="U10" s="420"/>
      <c r="V10" s="427"/>
      <c r="W10" s="393"/>
      <c r="X10" s="393"/>
      <c r="AC10" s="393"/>
      <c r="AD10" s="393"/>
      <c r="AE10" s="393"/>
      <c r="AF10" s="393"/>
      <c r="AG10" s="393"/>
      <c r="AH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413" t="s">
        <v>324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5"/>
      <c r="O11" s="393"/>
      <c r="P11" s="393"/>
      <c r="Q11" s="418" t="s">
        <v>320</v>
      </c>
      <c r="R11" s="419" t="s">
        <v>258</v>
      </c>
      <c r="S11" s="420"/>
      <c r="T11" s="1419" t="s">
        <v>355</v>
      </c>
      <c r="U11" s="1419"/>
      <c r="V11" s="1420"/>
      <c r="W11" s="393"/>
      <c r="X11" s="393"/>
      <c r="AC11" s="393"/>
      <c r="AD11" s="398"/>
      <c r="AE11" s="393"/>
      <c r="AF11" s="393"/>
      <c r="AG11" s="393"/>
      <c r="AH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416"/>
      <c r="C12" s="1417"/>
      <c r="D12" s="1417"/>
      <c r="E12" s="1417"/>
      <c r="F12" s="1417"/>
      <c r="G12" s="1417"/>
      <c r="H12" s="1417"/>
      <c r="I12" s="1417"/>
      <c r="J12" s="1417"/>
      <c r="K12" s="1417"/>
      <c r="L12" s="1417"/>
      <c r="M12" s="1417"/>
      <c r="N12" s="1418"/>
      <c r="O12" s="393"/>
      <c r="P12" s="393"/>
      <c r="Q12" s="428" t="s">
        <v>321</v>
      </c>
      <c r="R12" s="429" t="s">
        <v>257</v>
      </c>
      <c r="S12" s="430"/>
      <c r="T12" s="1421" t="s">
        <v>356</v>
      </c>
      <c r="U12" s="1421"/>
      <c r="V12" s="1422"/>
      <c r="W12" s="393"/>
      <c r="X12" s="393"/>
      <c r="Y12" s="406"/>
      <c r="AC12" s="393"/>
      <c r="AD12" s="393"/>
      <c r="AE12" s="393"/>
      <c r="AF12" s="393"/>
      <c r="AG12" s="393"/>
      <c r="AH12" s="393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358" t="s">
        <v>248</v>
      </c>
      <c r="C13" s="82" t="s">
        <v>43</v>
      </c>
      <c r="D13" s="82" t="s">
        <v>44</v>
      </c>
      <c r="E13" s="82" t="s">
        <v>214</v>
      </c>
      <c r="F13" s="82" t="s">
        <v>252</v>
      </c>
      <c r="G13" s="82" t="s">
        <v>397</v>
      </c>
      <c r="H13" s="361" t="s">
        <v>251</v>
      </c>
      <c r="I13" s="82" t="s">
        <v>253</v>
      </c>
      <c r="J13" s="82" t="s">
        <v>250</v>
      </c>
      <c r="K13" s="82" t="s">
        <v>249</v>
      </c>
      <c r="L13" s="82" t="s">
        <v>254</v>
      </c>
      <c r="M13" s="82" t="s">
        <v>255</v>
      </c>
      <c r="N13" s="82" t="s">
        <v>325</v>
      </c>
      <c r="W13" s="393"/>
      <c r="X13" s="393"/>
      <c r="Y13" s="407"/>
      <c r="AD13" s="398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432"/>
      <c r="I14" s="431"/>
      <c r="J14" s="431"/>
      <c r="K14" s="431"/>
      <c r="L14" s="431"/>
      <c r="M14" s="431"/>
      <c r="N14" s="433"/>
      <c r="Q14" s="1423"/>
      <c r="R14" s="1423"/>
      <c r="S14" s="1423"/>
      <c r="T14" s="1423"/>
      <c r="U14" s="1423"/>
      <c r="V14" s="1423"/>
      <c r="W14" s="393"/>
      <c r="X14" s="393"/>
      <c r="Y14" s="393"/>
      <c r="AV14" s="390"/>
      <c r="BE14" s="390"/>
    </row>
    <row r="15" spans="1:94" ht="30" customHeight="1" thickBot="1" x14ac:dyDescent="0.25">
      <c r="B15" s="408">
        <v>1</v>
      </c>
      <c r="C15" s="411" t="s">
        <v>418</v>
      </c>
      <c r="D15" s="434" t="s">
        <v>24</v>
      </c>
      <c r="E15" s="411" t="s">
        <v>419</v>
      </c>
      <c r="F15" s="435">
        <v>20</v>
      </c>
      <c r="G15" s="435">
        <v>5</v>
      </c>
      <c r="H15" s="680">
        <v>8.1935400000000005</v>
      </c>
      <c r="I15" s="680">
        <f>H15</f>
        <v>8.1935400000000005</v>
      </c>
      <c r="J15" s="437">
        <v>5.1799999999999999E-5</v>
      </c>
      <c r="K15" s="436">
        <f>(7.23+7.23+7.22)/3</f>
        <v>7.2266666666666666</v>
      </c>
      <c r="L15" s="438">
        <v>5.0000000000000001E-3</v>
      </c>
      <c r="M15" s="437">
        <v>9.0000000000000002E-6</v>
      </c>
      <c r="N15" s="412"/>
      <c r="Q15" s="1424" t="s">
        <v>268</v>
      </c>
      <c r="R15" s="1425"/>
      <c r="S15" s="1426"/>
      <c r="T15" s="405"/>
      <c r="U15" s="1424" t="s">
        <v>357</v>
      </c>
      <c r="V15" s="1425"/>
      <c r="W15" s="1425"/>
      <c r="X15" s="1426"/>
      <c r="Y15" s="393"/>
      <c r="AD15" s="398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7"/>
      <c r="Q16" s="1427" t="s">
        <v>401</v>
      </c>
      <c r="R16" s="1428"/>
      <c r="S16" s="1429"/>
      <c r="T16" s="405"/>
      <c r="U16" s="1430" t="s">
        <v>302</v>
      </c>
      <c r="V16" s="1431"/>
      <c r="W16" s="1431"/>
      <c r="X16" s="1432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425"/>
      <c r="L17" s="425"/>
      <c r="Q17" s="413" t="s">
        <v>248</v>
      </c>
      <c r="R17" s="440" t="s">
        <v>402</v>
      </c>
      <c r="S17" s="441" t="s">
        <v>271</v>
      </c>
      <c r="T17" s="405"/>
      <c r="U17" s="442">
        <v>18501</v>
      </c>
      <c r="V17" s="679" t="s">
        <v>303</v>
      </c>
      <c r="W17" s="679">
        <v>19336.599999999999</v>
      </c>
      <c r="X17" s="443" t="s">
        <v>4</v>
      </c>
      <c r="Y17" s="405"/>
      <c r="Z17" s="405"/>
      <c r="AA17" s="405"/>
      <c r="AB17" s="405"/>
      <c r="AD17" s="398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425"/>
      <c r="L18" s="425"/>
      <c r="Q18" s="444"/>
      <c r="R18" s="445"/>
      <c r="S18" s="446"/>
      <c r="T18" s="405"/>
      <c r="U18" s="447">
        <v>1128.29</v>
      </c>
      <c r="V18" s="680" t="s">
        <v>303</v>
      </c>
      <c r="W18" s="680">
        <v>1179.99</v>
      </c>
      <c r="X18" s="448" t="s">
        <v>403</v>
      </c>
      <c r="Y18" s="405"/>
      <c r="Z18" s="405"/>
      <c r="AA18" s="405"/>
      <c r="AB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425"/>
      <c r="L19" s="425"/>
      <c r="Q19" s="418" t="s">
        <v>404</v>
      </c>
      <c r="R19" s="675">
        <v>0.25</v>
      </c>
      <c r="S19" s="676">
        <v>80</v>
      </c>
      <c r="T19" s="405"/>
      <c r="U19" s="449">
        <v>4.8917000000000002</v>
      </c>
      <c r="V19" s="681" t="s">
        <v>303</v>
      </c>
      <c r="W19" s="681">
        <v>5.1082000000000001</v>
      </c>
      <c r="X19" s="450" t="s">
        <v>9</v>
      </c>
      <c r="AD19" s="398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456"/>
      <c r="L20" s="455"/>
      <c r="M20" s="455"/>
      <c r="N20" s="457"/>
      <c r="Q20" s="418" t="s">
        <v>405</v>
      </c>
      <c r="R20" s="675">
        <v>0.5</v>
      </c>
      <c r="S20" s="676">
        <v>40</v>
      </c>
      <c r="T20" s="405"/>
      <c r="U20" s="458" t="s">
        <v>248</v>
      </c>
      <c r="V20" s="458" t="s">
        <v>4</v>
      </c>
      <c r="W20" s="459" t="s">
        <v>406</v>
      </c>
      <c r="X20" s="458" t="s">
        <v>9</v>
      </c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433" t="s">
        <v>326</v>
      </c>
      <c r="C21" s="1434"/>
      <c r="D21" s="1434"/>
      <c r="E21" s="1434"/>
      <c r="F21" s="1434"/>
      <c r="G21" s="1434"/>
      <c r="H21" s="1434"/>
      <c r="I21" s="1434"/>
      <c r="J21" s="1434"/>
      <c r="K21" s="1434"/>
      <c r="L21" s="1434"/>
      <c r="M21" s="1435"/>
      <c r="N21" s="461"/>
      <c r="Q21" s="462" t="s">
        <v>407</v>
      </c>
      <c r="R21" s="463">
        <v>1</v>
      </c>
      <c r="S21" s="678">
        <v>20</v>
      </c>
      <c r="T21" s="405"/>
      <c r="U21" s="464"/>
      <c r="V21" s="465"/>
      <c r="W21" s="465"/>
      <c r="X21" s="466"/>
      <c r="AD21" s="398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461"/>
      <c r="T22" s="405"/>
      <c r="U22" s="408">
        <v>1</v>
      </c>
      <c r="V22" s="468">
        <v>6.3</v>
      </c>
      <c r="W22" s="409">
        <v>0.38</v>
      </c>
      <c r="X22" s="412">
        <v>1.6999999999999999E-3</v>
      </c>
      <c r="AV22" s="390"/>
      <c r="BE22" s="390"/>
    </row>
    <row r="23" spans="1:58" ht="69.95" customHeight="1" thickBot="1" x14ac:dyDescent="0.25">
      <c r="A23" s="460"/>
      <c r="B23" s="469" t="s">
        <v>1</v>
      </c>
      <c r="C23" s="470" t="s">
        <v>43</v>
      </c>
      <c r="D23" s="470" t="s">
        <v>44</v>
      </c>
      <c r="E23" s="470" t="s">
        <v>214</v>
      </c>
      <c r="F23" s="470" t="s">
        <v>84</v>
      </c>
      <c r="G23" s="470" t="s">
        <v>215</v>
      </c>
      <c r="H23" s="470" t="s">
        <v>86</v>
      </c>
      <c r="I23" s="470" t="s">
        <v>216</v>
      </c>
      <c r="J23" s="470" t="s">
        <v>89</v>
      </c>
      <c r="K23" s="471" t="s">
        <v>90</v>
      </c>
      <c r="L23" s="470" t="s">
        <v>91</v>
      </c>
      <c r="M23" s="472" t="s">
        <v>192</v>
      </c>
      <c r="N23" s="461"/>
      <c r="Q23" s="1427" t="s">
        <v>272</v>
      </c>
      <c r="R23" s="1428"/>
      <c r="S23" s="1429"/>
      <c r="T23" s="405"/>
      <c r="U23" s="473"/>
      <c r="V23" s="474"/>
      <c r="W23" s="475"/>
      <c r="X23" s="476"/>
      <c r="AD23" s="390"/>
      <c r="AV23" s="390"/>
      <c r="BE23" s="390"/>
    </row>
    <row r="24" spans="1:58" ht="30" customHeight="1" thickBot="1" x14ac:dyDescent="0.25">
      <c r="A24" s="460"/>
      <c r="B24" s="477"/>
      <c r="C24" s="478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82"/>
      <c r="Q24" s="413" t="s">
        <v>248</v>
      </c>
      <c r="R24" s="483" t="s">
        <v>273</v>
      </c>
      <c r="S24" s="484" t="s">
        <v>205</v>
      </c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485" t="s">
        <v>227</v>
      </c>
      <c r="C25" s="440" t="s">
        <v>79</v>
      </c>
      <c r="D25" s="440" t="s">
        <v>80</v>
      </c>
      <c r="E25" s="440" t="s">
        <v>360</v>
      </c>
      <c r="F25" s="486">
        <v>15.56</v>
      </c>
      <c r="G25" s="440">
        <v>4.9998500000000003</v>
      </c>
      <c r="H25" s="487">
        <v>4.0967700000000002</v>
      </c>
      <c r="I25" s="487">
        <v>4.0967700000000002</v>
      </c>
      <c r="J25" s="440">
        <v>4.7700000000000001E-5</v>
      </c>
      <c r="K25" s="488">
        <f>(5.49+5.5+5.51)/3</f>
        <v>5.5</v>
      </c>
      <c r="L25" s="489">
        <v>5.0000000000000001E-3</v>
      </c>
      <c r="M25" s="490">
        <v>9.9000000000000001E-6</v>
      </c>
      <c r="N25" s="461"/>
      <c r="Q25" s="418"/>
      <c r="R25" s="675"/>
      <c r="S25" s="676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491" t="s">
        <v>228</v>
      </c>
      <c r="C26" s="492" t="s">
        <v>79</v>
      </c>
      <c r="D26" s="493" t="s">
        <v>24</v>
      </c>
      <c r="E26" s="492" t="s">
        <v>359</v>
      </c>
      <c r="F26" s="494">
        <v>20</v>
      </c>
      <c r="G26" s="492">
        <v>5</v>
      </c>
      <c r="H26" s="677">
        <v>8.1935400000000005</v>
      </c>
      <c r="I26" s="492">
        <f>H26</f>
        <v>8.1935400000000005</v>
      </c>
      <c r="J26" s="492">
        <v>4.7700000000000001E-5</v>
      </c>
      <c r="K26" s="495">
        <f>(7.29+7.26+7.25)/3</f>
        <v>7.2666666666666666</v>
      </c>
      <c r="L26" s="496">
        <v>5.0000000000000001E-3</v>
      </c>
      <c r="M26" s="497"/>
      <c r="N26" s="482"/>
      <c r="Q26" s="418">
        <v>1</v>
      </c>
      <c r="R26" s="675">
        <v>100</v>
      </c>
      <c r="S26" s="498" t="s">
        <v>206</v>
      </c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82"/>
      <c r="Q27" s="418">
        <v>2</v>
      </c>
      <c r="R27" s="675">
        <v>500</v>
      </c>
      <c r="S27" s="498">
        <v>499.68</v>
      </c>
      <c r="T27" s="499"/>
      <c r="X27" s="393"/>
      <c r="Y27" s="425"/>
      <c r="Z27" s="425"/>
      <c r="AA27" s="425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374" t="s">
        <v>281</v>
      </c>
      <c r="C28" s="1375"/>
      <c r="D28" s="1375"/>
      <c r="E28" s="1375"/>
      <c r="F28" s="1375"/>
      <c r="G28" s="1375"/>
      <c r="H28" s="1375"/>
      <c r="I28" s="1375"/>
      <c r="J28" s="1375"/>
      <c r="K28" s="1375"/>
      <c r="L28" s="1376"/>
      <c r="M28" s="499"/>
      <c r="N28" s="482"/>
      <c r="Q28" s="418">
        <v>3</v>
      </c>
      <c r="R28" s="675">
        <v>500</v>
      </c>
      <c r="S28" s="498">
        <v>500.25</v>
      </c>
      <c r="T28" s="499"/>
      <c r="X28" s="393"/>
      <c r="Y28" s="425"/>
      <c r="Z28" s="425"/>
      <c r="AA28" s="425"/>
      <c r="AB28" s="425"/>
      <c r="AC28" s="425"/>
      <c r="AD28" s="390"/>
      <c r="AV28" s="390"/>
    </row>
    <row r="29" spans="1:58" ht="60" customHeight="1" thickBot="1" x14ac:dyDescent="0.25">
      <c r="A29" s="460"/>
      <c r="B29" s="1411" t="s">
        <v>197</v>
      </c>
      <c r="C29" s="501"/>
      <c r="D29" s="502" t="s">
        <v>43</v>
      </c>
      <c r="E29" s="502" t="s">
        <v>284</v>
      </c>
      <c r="F29" s="503" t="s">
        <v>283</v>
      </c>
      <c r="G29" s="503" t="s">
        <v>187</v>
      </c>
      <c r="H29" s="503" t="s">
        <v>246</v>
      </c>
      <c r="I29" s="503" t="s">
        <v>185</v>
      </c>
      <c r="J29" s="503" t="s">
        <v>247</v>
      </c>
      <c r="K29" s="504" t="s">
        <v>186</v>
      </c>
      <c r="L29" s="505" t="s">
        <v>300</v>
      </c>
      <c r="M29" s="499"/>
      <c r="N29" s="482"/>
      <c r="Q29" s="418">
        <v>4</v>
      </c>
      <c r="R29" s="506">
        <v>500</v>
      </c>
      <c r="S29" s="498">
        <v>500.46</v>
      </c>
      <c r="T29" s="499"/>
      <c r="X29" s="393"/>
      <c r="Y29" s="425"/>
      <c r="Z29" s="425"/>
      <c r="AA29" s="425"/>
      <c r="AB29" s="425"/>
      <c r="AC29" s="425"/>
      <c r="AD29" s="390"/>
      <c r="AV29" s="390"/>
    </row>
    <row r="30" spans="1:58" ht="30" customHeight="1" x14ac:dyDescent="0.2">
      <c r="A30" s="460"/>
      <c r="B30" s="1412"/>
      <c r="C30" s="507"/>
      <c r="D30" s="508"/>
      <c r="E30" s="509"/>
      <c r="F30" s="509"/>
      <c r="G30" s="509"/>
      <c r="H30" s="509"/>
      <c r="I30" s="509"/>
      <c r="J30" s="509"/>
      <c r="K30" s="510"/>
      <c r="L30" s="511"/>
      <c r="M30" s="499"/>
      <c r="N30" s="482"/>
      <c r="Q30" s="418">
        <v>5</v>
      </c>
      <c r="R30" s="506">
        <v>500</v>
      </c>
      <c r="S30" s="498">
        <v>500.34800000000001</v>
      </c>
      <c r="T30" s="499"/>
      <c r="X30" s="393"/>
      <c r="Y30" s="425"/>
      <c r="Z30" s="425"/>
      <c r="AA30" s="425"/>
      <c r="AB30" s="425"/>
      <c r="AC30" s="425"/>
      <c r="AD30" s="390"/>
      <c r="AV30" s="390"/>
    </row>
    <row r="31" spans="1:58" ht="30" customHeight="1" thickBot="1" x14ac:dyDescent="0.25">
      <c r="A31" s="460"/>
      <c r="B31" s="1412"/>
      <c r="C31" s="512" t="s">
        <v>227</v>
      </c>
      <c r="D31" s="513" t="s">
        <v>79</v>
      </c>
      <c r="E31" s="513" t="s">
        <v>360</v>
      </c>
      <c r="F31" s="506">
        <v>18926.47</v>
      </c>
      <c r="G31" s="506">
        <v>4.0967700000000002</v>
      </c>
      <c r="H31" s="506">
        <f>F31-18927.06</f>
        <v>-0.59000000000014552</v>
      </c>
      <c r="I31" s="506">
        <v>2.7</v>
      </c>
      <c r="J31" s="506">
        <v>2.02</v>
      </c>
      <c r="K31" s="514">
        <v>42716</v>
      </c>
      <c r="L31" s="515" t="s">
        <v>298</v>
      </c>
      <c r="M31" s="499"/>
      <c r="N31" s="482"/>
      <c r="Q31" s="428">
        <v>6</v>
      </c>
      <c r="R31" s="516">
        <v>1000</v>
      </c>
      <c r="S31" s="517">
        <v>1000.625</v>
      </c>
      <c r="T31" s="405"/>
      <c r="AA31" s="425"/>
      <c r="AB31" s="425"/>
      <c r="AC31" s="425"/>
      <c r="AD31" s="390"/>
      <c r="AV31" s="390"/>
      <c r="BF31" s="518"/>
    </row>
    <row r="32" spans="1:58" ht="30" customHeight="1" thickBot="1" x14ac:dyDescent="0.25">
      <c r="A32" s="460"/>
      <c r="B32" s="1412"/>
      <c r="C32" s="519" t="s">
        <v>228</v>
      </c>
      <c r="D32" s="520" t="s">
        <v>79</v>
      </c>
      <c r="E32" s="521" t="s">
        <v>229</v>
      </c>
      <c r="F32" s="522">
        <v>18934.57</v>
      </c>
      <c r="G32" s="522">
        <v>8.1935300000000009</v>
      </c>
      <c r="H32" s="522">
        <v>-7.51</v>
      </c>
      <c r="I32" s="522">
        <v>3.4</v>
      </c>
      <c r="J32" s="522">
        <v>2.04</v>
      </c>
      <c r="K32" s="523">
        <v>42471</v>
      </c>
      <c r="L32" s="524" t="s">
        <v>299</v>
      </c>
      <c r="M32" s="499"/>
      <c r="N32" s="482"/>
      <c r="T32" s="405"/>
      <c r="U32" s="405"/>
      <c r="AA32" s="425"/>
      <c r="AB32" s="425"/>
      <c r="AC32" s="425"/>
      <c r="AD32" s="390"/>
      <c r="AV32" s="390"/>
    </row>
    <row r="33" spans="1:58" ht="30" customHeight="1" x14ac:dyDescent="0.2">
      <c r="A33" s="460"/>
      <c r="B33" s="525"/>
      <c r="C33" s="526"/>
      <c r="D33" s="452"/>
      <c r="E33" s="526"/>
      <c r="F33" s="526"/>
      <c r="G33" s="526"/>
      <c r="H33" s="526"/>
      <c r="I33" s="526"/>
      <c r="J33" s="526"/>
      <c r="K33" s="480"/>
      <c r="L33" s="479"/>
      <c r="M33" s="499"/>
      <c r="N33" s="482"/>
      <c r="T33" s="405"/>
      <c r="U33" s="405"/>
      <c r="AA33" s="425"/>
      <c r="AB33" s="425"/>
      <c r="AC33" s="425"/>
      <c r="AD33" s="390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82"/>
      <c r="T34" s="405"/>
      <c r="U34" s="405"/>
      <c r="AA34" s="425"/>
      <c r="AB34" s="425"/>
      <c r="AC34" s="425"/>
      <c r="AD34" s="390"/>
      <c r="AV34" s="390"/>
      <c r="BF34" s="407"/>
    </row>
    <row r="35" spans="1:58" ht="30" customHeight="1" thickBot="1" x14ac:dyDescent="0.25">
      <c r="A35" s="460"/>
      <c r="B35" s="1374" t="s">
        <v>210</v>
      </c>
      <c r="C35" s="1375"/>
      <c r="D35" s="1375"/>
      <c r="E35" s="1375"/>
      <c r="F35" s="1375"/>
      <c r="G35" s="1375"/>
      <c r="H35" s="1375"/>
      <c r="I35" s="1375"/>
      <c r="J35" s="1375"/>
      <c r="K35" s="1375"/>
      <c r="L35" s="1376"/>
      <c r="M35" s="499"/>
      <c r="N35" s="482"/>
      <c r="T35" s="405"/>
      <c r="U35" s="405"/>
      <c r="AA35" s="425"/>
      <c r="AB35" s="425"/>
      <c r="AC35" s="425"/>
      <c r="AD35" s="390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43</v>
      </c>
      <c r="E36" s="502" t="s">
        <v>284</v>
      </c>
      <c r="F36" s="503" t="s">
        <v>283</v>
      </c>
      <c r="G36" s="503" t="s">
        <v>187</v>
      </c>
      <c r="H36" s="503" t="s">
        <v>246</v>
      </c>
      <c r="I36" s="503" t="s">
        <v>185</v>
      </c>
      <c r="J36" s="503" t="s">
        <v>247</v>
      </c>
      <c r="K36" s="529" t="s">
        <v>186</v>
      </c>
      <c r="L36" s="505" t="s">
        <v>300</v>
      </c>
      <c r="M36" s="499"/>
      <c r="N36" s="482"/>
      <c r="T36" s="405"/>
      <c r="U36" s="405"/>
      <c r="AA36" s="425"/>
      <c r="AB36" s="425"/>
      <c r="AC36" s="425"/>
      <c r="AD36" s="390"/>
      <c r="AV36" s="390"/>
      <c r="BF36" s="407"/>
    </row>
    <row r="37" spans="1:58" ht="30" customHeight="1" thickBot="1" x14ac:dyDescent="0.25">
      <c r="A37" s="460"/>
      <c r="B37" s="1402" t="s">
        <v>327</v>
      </c>
      <c r="C37" s="530"/>
      <c r="D37" s="531"/>
      <c r="E37" s="532"/>
      <c r="F37" s="532"/>
      <c r="G37" s="532"/>
      <c r="H37" s="532"/>
      <c r="I37" s="532"/>
      <c r="J37" s="532"/>
      <c r="K37" s="533"/>
      <c r="L37" s="534"/>
      <c r="M37" s="499"/>
      <c r="N37" s="482"/>
      <c r="T37" s="405"/>
      <c r="U37" s="405"/>
      <c r="AA37" s="425"/>
      <c r="AB37" s="425"/>
      <c r="AC37" s="425"/>
      <c r="AD37" s="390"/>
      <c r="AV37" s="390"/>
      <c r="BF37" s="407"/>
    </row>
    <row r="38" spans="1:58" ht="30" customHeight="1" thickBot="1" x14ac:dyDescent="0.25">
      <c r="A38" s="460"/>
      <c r="B38" s="1403"/>
      <c r="C38" s="535" t="s">
        <v>329</v>
      </c>
      <c r="D38" s="1405" t="s">
        <v>297</v>
      </c>
      <c r="E38" s="536" t="s">
        <v>230</v>
      </c>
      <c r="F38" s="537">
        <v>2.8000000000000001E-2</v>
      </c>
      <c r="G38" s="538">
        <v>1E-3</v>
      </c>
      <c r="H38" s="538">
        <v>-2.8000000000000001E-2</v>
      </c>
      <c r="I38" s="538">
        <v>1.2999999999999999E-2</v>
      </c>
      <c r="J38" s="539">
        <v>2</v>
      </c>
      <c r="K38" s="540">
        <v>42843</v>
      </c>
      <c r="L38" s="1408" t="s">
        <v>362</v>
      </c>
      <c r="M38" s="499"/>
      <c r="N38" s="482"/>
      <c r="T38" s="405"/>
      <c r="U38" s="405"/>
      <c r="AA38" s="425"/>
      <c r="AB38" s="425"/>
      <c r="AC38" s="425"/>
      <c r="AD38" s="390"/>
      <c r="AV38" s="390"/>
    </row>
    <row r="39" spans="1:58" ht="30" customHeight="1" thickBot="1" x14ac:dyDescent="0.25">
      <c r="A39" s="460"/>
      <c r="B39" s="1403"/>
      <c r="C39" s="535" t="s">
        <v>330</v>
      </c>
      <c r="D39" s="1406"/>
      <c r="E39" s="536" t="s">
        <v>230</v>
      </c>
      <c r="F39" s="541">
        <v>25.062000000000001</v>
      </c>
      <c r="G39" s="506">
        <v>1E-3</v>
      </c>
      <c r="H39" s="506">
        <v>-6.8000000000000005E-2</v>
      </c>
      <c r="I39" s="506">
        <v>4.3999999999999997E-2</v>
      </c>
      <c r="J39" s="542">
        <v>2</v>
      </c>
      <c r="K39" s="514">
        <v>42843</v>
      </c>
      <c r="L39" s="1409"/>
      <c r="M39" s="499"/>
      <c r="N39" s="482"/>
      <c r="T39" s="405"/>
      <c r="U39" s="405"/>
      <c r="AA39" s="425"/>
      <c r="AB39" s="425"/>
      <c r="AC39" s="425"/>
      <c r="AD39" s="390"/>
      <c r="AV39" s="390"/>
    </row>
    <row r="40" spans="1:58" ht="30" customHeight="1" thickBot="1" x14ac:dyDescent="0.25">
      <c r="A40" s="460"/>
      <c r="B40" s="1404"/>
      <c r="C40" s="543" t="s">
        <v>331</v>
      </c>
      <c r="D40" s="1407"/>
      <c r="E40" s="544" t="s">
        <v>230</v>
      </c>
      <c r="F40" s="545">
        <v>50.091999999999999</v>
      </c>
      <c r="G40" s="516">
        <v>1E-3</v>
      </c>
      <c r="H40" s="516">
        <v>-0.10199999999999999</v>
      </c>
      <c r="I40" s="516">
        <v>4.3999999999999997E-2</v>
      </c>
      <c r="J40" s="546">
        <v>2</v>
      </c>
      <c r="K40" s="547">
        <v>42843</v>
      </c>
      <c r="L40" s="1410"/>
      <c r="M40" s="499"/>
      <c r="N40" s="482"/>
      <c r="T40" s="405"/>
      <c r="U40" s="405"/>
      <c r="Y40" s="425"/>
      <c r="Z40" s="425"/>
      <c r="AA40" s="425"/>
      <c r="AB40" s="425"/>
      <c r="AC40" s="425"/>
      <c r="AD40" s="390"/>
      <c r="AV40" s="390"/>
    </row>
    <row r="41" spans="1:58" ht="30" customHeight="1" thickBot="1" x14ac:dyDescent="0.25">
      <c r="A41" s="460"/>
      <c r="B41" s="1402" t="s">
        <v>328</v>
      </c>
      <c r="C41" s="548"/>
      <c r="D41" s="549"/>
      <c r="E41" s="550"/>
      <c r="F41" s="551"/>
      <c r="G41" s="532"/>
      <c r="H41" s="532"/>
      <c r="I41" s="532"/>
      <c r="J41" s="532"/>
      <c r="K41" s="533"/>
      <c r="L41" s="552"/>
      <c r="M41" s="499"/>
      <c r="N41" s="482"/>
      <c r="T41" s="393"/>
      <c r="U41" s="393"/>
      <c r="V41" s="393"/>
      <c r="W41" s="393"/>
      <c r="X41" s="393"/>
      <c r="Y41" s="425"/>
      <c r="Z41" s="425"/>
      <c r="AA41" s="425"/>
      <c r="AB41" s="425"/>
      <c r="AC41" s="425"/>
      <c r="AD41" s="390"/>
      <c r="AV41" s="390"/>
    </row>
    <row r="42" spans="1:58" ht="30" customHeight="1" thickBot="1" x14ac:dyDescent="0.25">
      <c r="A42" s="460"/>
      <c r="B42" s="1403"/>
      <c r="C42" s="535" t="s">
        <v>332</v>
      </c>
      <c r="D42" s="1405" t="s">
        <v>297</v>
      </c>
      <c r="E42" s="553" t="s">
        <v>231</v>
      </c>
      <c r="F42" s="537">
        <v>-6.0000000000000001E-3</v>
      </c>
      <c r="G42" s="538">
        <v>1E-3</v>
      </c>
      <c r="H42" s="538">
        <v>6.0000000000000001E-3</v>
      </c>
      <c r="I42" s="538">
        <v>1.2999999999999999E-2</v>
      </c>
      <c r="J42" s="538">
        <v>2</v>
      </c>
      <c r="K42" s="554">
        <v>42843</v>
      </c>
      <c r="L42" s="1408" t="s">
        <v>363</v>
      </c>
      <c r="M42" s="499"/>
      <c r="N42" s="482"/>
      <c r="T42" s="393"/>
      <c r="U42" s="393"/>
      <c r="V42" s="393"/>
      <c r="W42" s="393"/>
      <c r="X42" s="393"/>
      <c r="Y42" s="425"/>
      <c r="Z42" s="425"/>
      <c r="AA42" s="425"/>
      <c r="AB42" s="425"/>
      <c r="AC42" s="425"/>
      <c r="AD42" s="390"/>
      <c r="AV42" s="390"/>
    </row>
    <row r="43" spans="1:58" ht="30" customHeight="1" thickBot="1" x14ac:dyDescent="0.25">
      <c r="A43" s="460"/>
      <c r="B43" s="1403"/>
      <c r="C43" s="535" t="s">
        <v>333</v>
      </c>
      <c r="D43" s="1406"/>
      <c r="E43" s="555" t="s">
        <v>232</v>
      </c>
      <c r="F43" s="541">
        <v>25.021999999999998</v>
      </c>
      <c r="G43" s="506">
        <v>1E-3</v>
      </c>
      <c r="H43" s="506">
        <v>-2.8000000000000001E-2</v>
      </c>
      <c r="I43" s="506">
        <v>4.3999999999999997E-2</v>
      </c>
      <c r="J43" s="506">
        <v>2</v>
      </c>
      <c r="K43" s="556">
        <v>42843</v>
      </c>
      <c r="L43" s="1409"/>
      <c r="M43" s="499"/>
      <c r="N43" s="482"/>
      <c r="Q43" s="424"/>
      <c r="R43" s="425"/>
      <c r="S43" s="425"/>
      <c r="T43" s="425"/>
      <c r="U43" s="425"/>
      <c r="V43" s="425"/>
      <c r="W43" s="393"/>
      <c r="X43" s="393"/>
      <c r="Y43" s="425"/>
      <c r="Z43" s="425"/>
      <c r="AA43" s="425"/>
      <c r="AB43" s="425"/>
      <c r="AC43" s="425"/>
      <c r="AD43" s="390"/>
      <c r="AV43" s="390"/>
    </row>
    <row r="44" spans="1:58" ht="30" customHeight="1" thickBot="1" x14ac:dyDescent="0.25">
      <c r="A44" s="460"/>
      <c r="B44" s="1404"/>
      <c r="C44" s="543" t="s">
        <v>334</v>
      </c>
      <c r="D44" s="1407"/>
      <c r="E44" s="557" t="s">
        <v>231</v>
      </c>
      <c r="F44" s="545">
        <v>50.05</v>
      </c>
      <c r="G44" s="516">
        <v>1E-3</v>
      </c>
      <c r="H44" s="516">
        <v>-5.8999999999999997E-2</v>
      </c>
      <c r="I44" s="516">
        <v>4.3999999999999997E-2</v>
      </c>
      <c r="J44" s="516">
        <v>2</v>
      </c>
      <c r="K44" s="558">
        <v>42843</v>
      </c>
      <c r="L44" s="1410"/>
      <c r="M44" s="499"/>
      <c r="N44" s="482"/>
      <c r="Q44" s="424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390"/>
      <c r="AV44" s="390"/>
    </row>
    <row r="45" spans="1:58" ht="30" customHeight="1" thickBot="1" x14ac:dyDescent="0.25">
      <c r="A45" s="460"/>
      <c r="B45" s="390"/>
      <c r="C45" s="405"/>
      <c r="D45" s="405"/>
      <c r="E45" s="405"/>
      <c r="F45" s="405"/>
      <c r="G45" s="405"/>
      <c r="H45" s="405"/>
      <c r="I45" s="405"/>
      <c r="J45" s="405"/>
      <c r="K45" s="527"/>
      <c r="L45" s="405"/>
      <c r="M45" s="499"/>
      <c r="N45" s="482"/>
      <c r="Q45" s="424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390"/>
      <c r="AV45" s="390"/>
    </row>
    <row r="46" spans="1:58" ht="30" customHeight="1" thickBot="1" x14ac:dyDescent="0.25">
      <c r="A46" s="460"/>
      <c r="B46" s="1374" t="s">
        <v>408</v>
      </c>
      <c r="C46" s="1375"/>
      <c r="D46" s="1375"/>
      <c r="E46" s="1375"/>
      <c r="F46" s="1375"/>
      <c r="G46" s="1375"/>
      <c r="H46" s="1375"/>
      <c r="I46" s="1375"/>
      <c r="J46" s="1375"/>
      <c r="K46" s="1375"/>
      <c r="L46" s="1376"/>
      <c r="M46" s="499"/>
      <c r="N46" s="482"/>
      <c r="Q46" s="424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</row>
    <row r="47" spans="1:58" ht="30" customHeight="1" thickBot="1" x14ac:dyDescent="0.25">
      <c r="A47" s="460"/>
      <c r="B47" s="390"/>
      <c r="C47" s="528"/>
      <c r="D47" s="559" t="s">
        <v>43</v>
      </c>
      <c r="E47" s="560" t="s">
        <v>284</v>
      </c>
      <c r="F47" s="559" t="s">
        <v>283</v>
      </c>
      <c r="G47" s="559" t="s">
        <v>187</v>
      </c>
      <c r="H47" s="559" t="s">
        <v>246</v>
      </c>
      <c r="I47" s="559" t="s">
        <v>185</v>
      </c>
      <c r="J47" s="559" t="s">
        <v>247</v>
      </c>
      <c r="K47" s="561" t="s">
        <v>186</v>
      </c>
      <c r="L47" s="505" t="s">
        <v>300</v>
      </c>
      <c r="M47" s="499"/>
      <c r="N47" s="482"/>
      <c r="Q47" s="424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5"/>
      <c r="AD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</row>
    <row r="48" spans="1:58" ht="30" customHeight="1" thickBot="1" x14ac:dyDescent="0.25">
      <c r="A48" s="460"/>
      <c r="B48" s="1391" t="s">
        <v>198</v>
      </c>
      <c r="C48" s="562"/>
      <c r="D48" s="563"/>
      <c r="E48" s="564"/>
      <c r="F48" s="564"/>
      <c r="G48" s="564"/>
      <c r="H48" s="564"/>
      <c r="I48" s="564"/>
      <c r="J48" s="564"/>
      <c r="K48" s="565"/>
      <c r="L48" s="403"/>
      <c r="M48" s="499"/>
      <c r="N48" s="482"/>
      <c r="Q48" s="424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</row>
    <row r="49" spans="1:58" ht="30" customHeight="1" x14ac:dyDescent="0.2">
      <c r="A49" s="460"/>
      <c r="B49" s="1392"/>
      <c r="C49" s="464" t="s">
        <v>335</v>
      </c>
      <c r="D49" s="1386" t="s">
        <v>289</v>
      </c>
      <c r="E49" s="566">
        <v>2307140802024</v>
      </c>
      <c r="F49" s="567">
        <v>20.100000000000001</v>
      </c>
      <c r="G49" s="567">
        <v>0.1</v>
      </c>
      <c r="H49" s="568">
        <v>0</v>
      </c>
      <c r="I49" s="567">
        <v>0.2</v>
      </c>
      <c r="J49" s="567">
        <v>1.96</v>
      </c>
      <c r="K49" s="569">
        <v>42580</v>
      </c>
      <c r="L49" s="570" t="s">
        <v>364</v>
      </c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</row>
    <row r="50" spans="1:58" ht="30" customHeight="1" x14ac:dyDescent="0.2">
      <c r="A50" s="460"/>
      <c r="B50" s="1392"/>
      <c r="C50" s="408" t="s">
        <v>336</v>
      </c>
      <c r="D50" s="1387"/>
      <c r="E50" s="571">
        <v>2307140802024</v>
      </c>
      <c r="F50" s="409">
        <v>50.4</v>
      </c>
      <c r="G50" s="409">
        <v>0.1</v>
      </c>
      <c r="H50" s="409">
        <v>-0.4</v>
      </c>
      <c r="I50" s="409">
        <v>1.7</v>
      </c>
      <c r="J50" s="409">
        <v>1.96</v>
      </c>
      <c r="K50" s="410">
        <v>42586</v>
      </c>
      <c r="L50" s="572" t="s">
        <v>365</v>
      </c>
      <c r="M50" s="499"/>
      <c r="N50" s="482"/>
      <c r="Q50" s="424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</row>
    <row r="51" spans="1:58" ht="30" customHeight="1" thickBot="1" x14ac:dyDescent="0.25">
      <c r="A51" s="460"/>
      <c r="B51" s="1392"/>
      <c r="C51" s="473" t="s">
        <v>337</v>
      </c>
      <c r="D51" s="1388"/>
      <c r="E51" s="573">
        <v>2307140802024</v>
      </c>
      <c r="F51" s="574">
        <v>753.1</v>
      </c>
      <c r="G51" s="574">
        <v>0.1</v>
      </c>
      <c r="H51" s="574">
        <v>-0.74099999999999999</v>
      </c>
      <c r="I51" s="574">
        <v>6.4000000000000001E-2</v>
      </c>
      <c r="J51" s="574">
        <v>2</v>
      </c>
      <c r="K51" s="575">
        <v>42625</v>
      </c>
      <c r="L51" s="576" t="s">
        <v>366</v>
      </c>
      <c r="M51" s="499"/>
      <c r="N51" s="482"/>
      <c r="O51" s="577"/>
      <c r="P51" s="390"/>
      <c r="Q51" s="424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</row>
    <row r="52" spans="1:58" ht="30" customHeight="1" thickBot="1" x14ac:dyDescent="0.25">
      <c r="A52" s="460"/>
      <c r="B52" s="1393"/>
      <c r="C52" s="578"/>
      <c r="D52" s="579"/>
      <c r="E52" s="682"/>
      <c r="F52" s="580"/>
      <c r="G52" s="580"/>
      <c r="H52" s="580"/>
      <c r="I52" s="580"/>
      <c r="J52" s="580"/>
      <c r="K52" s="581"/>
      <c r="L52" s="582"/>
      <c r="M52" s="499"/>
      <c r="N52" s="482"/>
      <c r="O52" s="577"/>
      <c r="P52" s="390"/>
      <c r="Q52" s="424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x14ac:dyDescent="0.2">
      <c r="A53" s="460"/>
      <c r="B53" s="1392"/>
      <c r="C53" s="464" t="s">
        <v>338</v>
      </c>
      <c r="D53" s="1386" t="s">
        <v>289</v>
      </c>
      <c r="E53" s="566">
        <v>19506160802033</v>
      </c>
      <c r="F53" s="567">
        <v>28.1</v>
      </c>
      <c r="G53" s="567">
        <v>0.1</v>
      </c>
      <c r="H53" s="567">
        <v>0.1</v>
      </c>
      <c r="I53" s="567">
        <v>1.5</v>
      </c>
      <c r="J53" s="567">
        <v>2</v>
      </c>
      <c r="K53" s="569">
        <v>42674</v>
      </c>
      <c r="L53" s="570" t="s">
        <v>367</v>
      </c>
      <c r="M53" s="499"/>
      <c r="N53" s="482"/>
      <c r="O53" s="577"/>
      <c r="P53" s="390"/>
      <c r="Q53" s="424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x14ac:dyDescent="0.2">
      <c r="A54" s="460"/>
      <c r="B54" s="1392"/>
      <c r="C54" s="408" t="s">
        <v>342</v>
      </c>
      <c r="D54" s="1387"/>
      <c r="E54" s="571">
        <v>19506160802033</v>
      </c>
      <c r="F54" s="409">
        <v>59.9</v>
      </c>
      <c r="G54" s="409">
        <v>0.1</v>
      </c>
      <c r="H54" s="409">
        <v>0.47</v>
      </c>
      <c r="I54" s="409">
        <v>1.6</v>
      </c>
      <c r="J54" s="409">
        <v>2</v>
      </c>
      <c r="K54" s="410">
        <v>42674</v>
      </c>
      <c r="L54" s="572" t="s">
        <v>368</v>
      </c>
      <c r="M54" s="499"/>
      <c r="N54" s="482"/>
      <c r="O54" s="577"/>
      <c r="P54" s="390"/>
      <c r="Q54" s="424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460"/>
      <c r="B55" s="1392"/>
      <c r="C55" s="473" t="s">
        <v>346</v>
      </c>
      <c r="D55" s="1388"/>
      <c r="E55" s="573">
        <v>19506160802033</v>
      </c>
      <c r="F55" s="574">
        <v>1099.8</v>
      </c>
      <c r="G55" s="574">
        <v>0.1</v>
      </c>
      <c r="H55" s="574">
        <v>-0.4</v>
      </c>
      <c r="I55" s="574">
        <v>0.17</v>
      </c>
      <c r="J55" s="574">
        <v>2</v>
      </c>
      <c r="K55" s="575">
        <v>42671</v>
      </c>
      <c r="L55" s="583" t="s">
        <v>369</v>
      </c>
      <c r="M55" s="499"/>
      <c r="N55" s="482"/>
      <c r="O55" s="577"/>
      <c r="P55" s="390"/>
      <c r="Q55" s="424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thickBot="1" x14ac:dyDescent="0.25">
      <c r="A56" s="460"/>
      <c r="B56" s="1393"/>
      <c r="C56" s="584"/>
      <c r="D56" s="580"/>
      <c r="E56" s="682"/>
      <c r="F56" s="580"/>
      <c r="G56" s="580"/>
      <c r="H56" s="580"/>
      <c r="I56" s="580"/>
      <c r="J56" s="580"/>
      <c r="K56" s="581"/>
      <c r="L56" s="582"/>
      <c r="M56" s="499"/>
      <c r="N56" s="482"/>
      <c r="O56" s="577"/>
      <c r="P56" s="390"/>
      <c r="Q56" s="424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x14ac:dyDescent="0.2">
      <c r="A57" s="460"/>
      <c r="B57" s="1392"/>
      <c r="C57" s="464" t="s">
        <v>339</v>
      </c>
      <c r="D57" s="1386" t="s">
        <v>289</v>
      </c>
      <c r="E57" s="566">
        <v>19406160802033</v>
      </c>
      <c r="F57" s="567">
        <v>20.100000000000001</v>
      </c>
      <c r="G57" s="567">
        <v>0.1</v>
      </c>
      <c r="H57" s="567">
        <v>-0.1</v>
      </c>
      <c r="I57" s="567">
        <v>1.5</v>
      </c>
      <c r="J57" s="567">
        <v>2</v>
      </c>
      <c r="K57" s="569">
        <v>42675</v>
      </c>
      <c r="L57" s="570" t="s">
        <v>370</v>
      </c>
      <c r="M57" s="499"/>
      <c r="N57" s="482"/>
      <c r="O57" s="577"/>
      <c r="P57" s="390"/>
      <c r="Q57" s="424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x14ac:dyDescent="0.2">
      <c r="A58" s="460"/>
      <c r="B58" s="1392"/>
      <c r="C58" s="408" t="s">
        <v>343</v>
      </c>
      <c r="D58" s="1387"/>
      <c r="E58" s="571">
        <v>19406160802033</v>
      </c>
      <c r="F58" s="409">
        <v>49.8</v>
      </c>
      <c r="G58" s="409">
        <v>0.1</v>
      </c>
      <c r="H58" s="409">
        <v>0.63</v>
      </c>
      <c r="I58" s="409">
        <v>1.6</v>
      </c>
      <c r="J58" s="409">
        <v>2</v>
      </c>
      <c r="K58" s="410">
        <v>42676</v>
      </c>
      <c r="L58" s="572" t="s">
        <v>371</v>
      </c>
      <c r="M58" s="499"/>
      <c r="N58" s="482"/>
      <c r="O58" s="577"/>
      <c r="P58" s="390"/>
      <c r="Q58" s="424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thickBot="1" x14ac:dyDescent="0.25">
      <c r="A59" s="460"/>
      <c r="B59" s="1392"/>
      <c r="C59" s="473" t="s">
        <v>347</v>
      </c>
      <c r="D59" s="1388"/>
      <c r="E59" s="573">
        <v>19406160802033</v>
      </c>
      <c r="F59" s="574">
        <v>724.6</v>
      </c>
      <c r="G59" s="574">
        <v>0.1</v>
      </c>
      <c r="H59" s="574">
        <v>-0.5</v>
      </c>
      <c r="I59" s="574">
        <v>0.17</v>
      </c>
      <c r="J59" s="574">
        <v>2</v>
      </c>
      <c r="K59" s="575">
        <v>42671</v>
      </c>
      <c r="L59" s="583" t="s">
        <v>372</v>
      </c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460"/>
      <c r="B60" s="1393"/>
      <c r="C60" s="578"/>
      <c r="D60" s="579"/>
      <c r="E60" s="682"/>
      <c r="F60" s="580"/>
      <c r="G60" s="580"/>
      <c r="H60" s="580"/>
      <c r="I60" s="580"/>
      <c r="J60" s="580"/>
      <c r="K60" s="581"/>
      <c r="L60" s="582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460"/>
      <c r="B61" s="1392"/>
      <c r="C61" s="464" t="s">
        <v>340</v>
      </c>
      <c r="D61" s="1386" t="s">
        <v>289</v>
      </c>
      <c r="E61" s="566">
        <v>2607140802024</v>
      </c>
      <c r="F61" s="567">
        <v>20.100000000000001</v>
      </c>
      <c r="G61" s="567">
        <v>0.1</v>
      </c>
      <c r="H61" s="568">
        <v>0</v>
      </c>
      <c r="I61" s="567">
        <v>0.2</v>
      </c>
      <c r="J61" s="567">
        <v>1.96</v>
      </c>
      <c r="K61" s="569">
        <v>42580</v>
      </c>
      <c r="L61" s="570" t="s">
        <v>373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460"/>
      <c r="B62" s="1392"/>
      <c r="C62" s="408" t="s">
        <v>344</v>
      </c>
      <c r="D62" s="1387"/>
      <c r="E62" s="571">
        <v>2607140802024</v>
      </c>
      <c r="F62" s="409">
        <v>50.6</v>
      </c>
      <c r="G62" s="409">
        <v>0.1</v>
      </c>
      <c r="H62" s="409">
        <v>-0.6</v>
      </c>
      <c r="I62" s="409">
        <v>1.7</v>
      </c>
      <c r="J62" s="409">
        <v>1.96</v>
      </c>
      <c r="K62" s="410">
        <v>42586</v>
      </c>
      <c r="L62" s="572" t="s">
        <v>374</v>
      </c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460"/>
      <c r="B63" s="1392"/>
      <c r="C63" s="473" t="s">
        <v>348</v>
      </c>
      <c r="D63" s="1388"/>
      <c r="E63" s="573">
        <v>2607140802024</v>
      </c>
      <c r="F63" s="574">
        <v>753.2</v>
      </c>
      <c r="G63" s="574">
        <v>0.1</v>
      </c>
      <c r="H63" s="574">
        <v>-0.64100000000000001</v>
      </c>
      <c r="I63" s="574">
        <v>6.4000000000000001E-2</v>
      </c>
      <c r="J63" s="574">
        <v>2</v>
      </c>
      <c r="K63" s="575">
        <v>42625</v>
      </c>
      <c r="L63" s="576" t="s">
        <v>375</v>
      </c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thickBot="1" x14ac:dyDescent="0.25">
      <c r="A64" s="460"/>
      <c r="B64" s="1393"/>
      <c r="C64" s="585"/>
      <c r="D64" s="586"/>
      <c r="E64" s="682"/>
      <c r="F64" s="580"/>
      <c r="G64" s="580"/>
      <c r="H64" s="580"/>
      <c r="I64" s="580"/>
      <c r="J64" s="580"/>
      <c r="K64" s="581"/>
      <c r="L64" s="582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x14ac:dyDescent="0.2">
      <c r="A65" s="460"/>
      <c r="B65" s="1393"/>
      <c r="C65" s="464" t="s">
        <v>341</v>
      </c>
      <c r="D65" s="1395" t="s">
        <v>289</v>
      </c>
      <c r="E65" s="587">
        <v>2207140802024</v>
      </c>
      <c r="F65" s="568">
        <v>20</v>
      </c>
      <c r="G65" s="567">
        <v>0.1</v>
      </c>
      <c r="H65" s="567">
        <v>0.1</v>
      </c>
      <c r="I65" s="567">
        <v>0.2</v>
      </c>
      <c r="J65" s="567">
        <v>1.96</v>
      </c>
      <c r="K65" s="569">
        <v>42586</v>
      </c>
      <c r="L65" s="570" t="s">
        <v>376</v>
      </c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460"/>
      <c r="B66" s="1393"/>
      <c r="C66" s="408" t="s">
        <v>345</v>
      </c>
      <c r="D66" s="1396"/>
      <c r="E66" s="588">
        <v>2207140802024</v>
      </c>
      <c r="F66" s="409">
        <v>50.5</v>
      </c>
      <c r="G66" s="409">
        <v>0.1</v>
      </c>
      <c r="H66" s="409">
        <v>-0.5</v>
      </c>
      <c r="I66" s="409">
        <v>1.7</v>
      </c>
      <c r="J66" s="409">
        <v>1.96</v>
      </c>
      <c r="K66" s="410">
        <v>42586</v>
      </c>
      <c r="L66" s="572" t="s">
        <v>377</v>
      </c>
      <c r="M66" s="499"/>
      <c r="N66" s="482"/>
      <c r="O66" s="577"/>
      <c r="P66" s="390"/>
      <c r="Q66" s="424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thickBot="1" x14ac:dyDescent="0.25">
      <c r="A67" s="460"/>
      <c r="B67" s="1394"/>
      <c r="C67" s="473" t="s">
        <v>349</v>
      </c>
      <c r="D67" s="1397"/>
      <c r="E67" s="589">
        <v>2207140802024</v>
      </c>
      <c r="F67" s="574">
        <v>753.2</v>
      </c>
      <c r="G67" s="574">
        <v>0.1</v>
      </c>
      <c r="H67" s="574">
        <v>-0.64100000000000001</v>
      </c>
      <c r="I67" s="574">
        <v>6.4000000000000001E-2</v>
      </c>
      <c r="J67" s="574">
        <v>2</v>
      </c>
      <c r="K67" s="575">
        <v>42625</v>
      </c>
      <c r="L67" s="590" t="s">
        <v>378</v>
      </c>
      <c r="M67" s="499"/>
      <c r="N67" s="482"/>
      <c r="O67" s="577"/>
      <c r="P67" s="390"/>
      <c r="Q67" s="424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460"/>
      <c r="B68" s="390"/>
      <c r="C68" s="405"/>
      <c r="D68" s="405"/>
      <c r="E68" s="405"/>
      <c r="F68" s="405"/>
      <c r="G68" s="405"/>
      <c r="H68" s="405"/>
      <c r="I68" s="405"/>
      <c r="J68" s="405"/>
      <c r="K68" s="527"/>
      <c r="L68" s="405"/>
      <c r="M68" s="499"/>
      <c r="N68" s="482"/>
      <c r="O68" s="577"/>
      <c r="P68" s="390"/>
      <c r="Q68" s="424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thickBot="1" x14ac:dyDescent="0.25">
      <c r="A69" s="460"/>
      <c r="B69" s="1374" t="s">
        <v>361</v>
      </c>
      <c r="C69" s="1375"/>
      <c r="D69" s="1375"/>
      <c r="E69" s="1375"/>
      <c r="F69" s="1375"/>
      <c r="G69" s="1375"/>
      <c r="H69" s="1375"/>
      <c r="I69" s="1375"/>
      <c r="J69" s="1375"/>
      <c r="K69" s="1375"/>
      <c r="L69" s="1376"/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60" customHeight="1" thickBot="1" x14ac:dyDescent="0.25">
      <c r="A70" s="460"/>
      <c r="B70" s="390"/>
      <c r="C70" s="528"/>
      <c r="D70" s="559" t="s">
        <v>43</v>
      </c>
      <c r="E70" s="560" t="s">
        <v>284</v>
      </c>
      <c r="F70" s="559" t="s">
        <v>283</v>
      </c>
      <c r="G70" s="559" t="s">
        <v>187</v>
      </c>
      <c r="H70" s="559" t="s">
        <v>246</v>
      </c>
      <c r="I70" s="559" t="s">
        <v>185</v>
      </c>
      <c r="J70" s="559" t="s">
        <v>247</v>
      </c>
      <c r="K70" s="561" t="s">
        <v>186</v>
      </c>
      <c r="L70" s="505" t="s">
        <v>300</v>
      </c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460"/>
      <c r="B71" s="1398" t="s">
        <v>199</v>
      </c>
      <c r="C71" s="591"/>
      <c r="D71" s="592"/>
      <c r="E71" s="593"/>
      <c r="F71" s="593"/>
      <c r="G71" s="593"/>
      <c r="H71" s="593"/>
      <c r="I71" s="593"/>
      <c r="J71" s="593"/>
      <c r="K71" s="594"/>
      <c r="L71" s="481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460"/>
      <c r="B72" s="1399"/>
      <c r="C72" s="535" t="s">
        <v>233</v>
      </c>
      <c r="D72" s="595" t="s">
        <v>291</v>
      </c>
      <c r="E72" s="431">
        <v>107</v>
      </c>
      <c r="F72" s="567">
        <v>5.0199999999999996</v>
      </c>
      <c r="G72" s="567">
        <v>0.1</v>
      </c>
      <c r="H72" s="567">
        <v>0.02</v>
      </c>
      <c r="I72" s="596">
        <v>0.02</v>
      </c>
      <c r="J72" s="567">
        <v>2.02</v>
      </c>
      <c r="K72" s="569">
        <v>42523</v>
      </c>
      <c r="L72" s="597" t="s">
        <v>379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460"/>
      <c r="B73" s="1399"/>
      <c r="C73" s="598" t="s">
        <v>234</v>
      </c>
      <c r="D73" s="599" t="s">
        <v>290</v>
      </c>
      <c r="E73" s="411">
        <v>27760</v>
      </c>
      <c r="F73" s="409">
        <v>5.0199999999999996</v>
      </c>
      <c r="G73" s="409">
        <v>0.05</v>
      </c>
      <c r="H73" s="409">
        <v>0.02</v>
      </c>
      <c r="I73" s="409">
        <v>3.7999999999999999E-2</v>
      </c>
      <c r="J73" s="468">
        <v>2</v>
      </c>
      <c r="K73" s="410">
        <v>43027</v>
      </c>
      <c r="L73" s="600" t="s">
        <v>382</v>
      </c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x14ac:dyDescent="0.2">
      <c r="A74" s="460"/>
      <c r="B74" s="1399"/>
      <c r="C74" s="598" t="s">
        <v>235</v>
      </c>
      <c r="D74" s="599" t="s">
        <v>292</v>
      </c>
      <c r="E74" s="411">
        <v>713</v>
      </c>
      <c r="F74" s="409">
        <v>10.039999999999999</v>
      </c>
      <c r="G74" s="409">
        <v>0.1</v>
      </c>
      <c r="H74" s="409">
        <v>0.04</v>
      </c>
      <c r="I74" s="409">
        <v>1.9E-2</v>
      </c>
      <c r="J74" s="409">
        <v>2.02</v>
      </c>
      <c r="K74" s="410">
        <v>42523</v>
      </c>
      <c r="L74" s="600" t="s">
        <v>380</v>
      </c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460"/>
      <c r="B75" s="1399"/>
      <c r="C75" s="598" t="s">
        <v>236</v>
      </c>
      <c r="D75" s="599" t="s">
        <v>290</v>
      </c>
      <c r="E75" s="411">
        <v>27761</v>
      </c>
      <c r="F75" s="409">
        <v>10.02</v>
      </c>
      <c r="G75" s="409">
        <v>0.1</v>
      </c>
      <c r="H75" s="409">
        <v>0.02</v>
      </c>
      <c r="I75" s="409">
        <v>6.7000000000000004E-2</v>
      </c>
      <c r="J75" s="468">
        <v>2</v>
      </c>
      <c r="K75" s="410">
        <v>43020</v>
      </c>
      <c r="L75" s="600" t="s">
        <v>383</v>
      </c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460"/>
      <c r="B76" s="1400"/>
      <c r="C76" s="601" t="s">
        <v>237</v>
      </c>
      <c r="D76" s="602" t="s">
        <v>290</v>
      </c>
      <c r="E76" s="603">
        <v>27762</v>
      </c>
      <c r="F76" s="574">
        <v>24.9</v>
      </c>
      <c r="G76" s="574">
        <v>0.1</v>
      </c>
      <c r="H76" s="574">
        <v>-0.1</v>
      </c>
      <c r="I76" s="574">
        <v>6.5000000000000002E-2</v>
      </c>
      <c r="J76" s="604">
        <v>2</v>
      </c>
      <c r="K76" s="575">
        <v>43025</v>
      </c>
      <c r="L76" s="605" t="s">
        <v>384</v>
      </c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thickBot="1" x14ac:dyDescent="0.25">
      <c r="A77" s="460"/>
      <c r="B77" s="390"/>
      <c r="C77" s="405"/>
      <c r="D77" s="405"/>
      <c r="E77" s="405"/>
      <c r="F77" s="405"/>
      <c r="G77" s="405"/>
      <c r="H77" s="405"/>
      <c r="I77" s="405"/>
      <c r="J77" s="405"/>
      <c r="K77" s="527"/>
      <c r="L77" s="405"/>
      <c r="M77" s="499"/>
      <c r="N77" s="482"/>
      <c r="O77" s="577"/>
      <c r="P77" s="390"/>
      <c r="Q77" s="424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460"/>
      <c r="B78" s="1374" t="s">
        <v>361</v>
      </c>
      <c r="C78" s="1375"/>
      <c r="D78" s="1375"/>
      <c r="E78" s="1375"/>
      <c r="F78" s="1375"/>
      <c r="G78" s="1375"/>
      <c r="H78" s="1375"/>
      <c r="I78" s="1375"/>
      <c r="J78" s="1375"/>
      <c r="K78" s="1375"/>
      <c r="L78" s="1376"/>
      <c r="M78" s="499"/>
      <c r="N78" s="482"/>
      <c r="O78" s="577"/>
      <c r="P78" s="390"/>
      <c r="Q78" s="424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60" customHeight="1" thickBot="1" x14ac:dyDescent="0.25">
      <c r="A79" s="460"/>
      <c r="B79" s="390"/>
      <c r="C79" s="528"/>
      <c r="D79" s="559" t="s">
        <v>43</v>
      </c>
      <c r="E79" s="560" t="s">
        <v>282</v>
      </c>
      <c r="F79" s="559" t="s">
        <v>283</v>
      </c>
      <c r="G79" s="559" t="s">
        <v>187</v>
      </c>
      <c r="H79" s="559" t="s">
        <v>246</v>
      </c>
      <c r="I79" s="559" t="s">
        <v>185</v>
      </c>
      <c r="J79" s="559" t="s">
        <v>247</v>
      </c>
      <c r="K79" s="561" t="s">
        <v>186</v>
      </c>
      <c r="L79" s="505" t="s">
        <v>300</v>
      </c>
      <c r="M79" s="499"/>
      <c r="N79" s="482"/>
      <c r="O79" s="577"/>
      <c r="P79" s="390"/>
      <c r="Q79" s="424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thickBot="1" x14ac:dyDescent="0.25">
      <c r="A80" s="460"/>
      <c r="B80" s="1401" t="s">
        <v>200</v>
      </c>
      <c r="C80" s="591"/>
      <c r="D80" s="606"/>
      <c r="E80" s="526"/>
      <c r="F80" s="526"/>
      <c r="G80" s="526"/>
      <c r="H80" s="526"/>
      <c r="I80" s="526"/>
      <c r="J80" s="526"/>
      <c r="K80" s="607"/>
      <c r="L80" s="481"/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460"/>
      <c r="B81" s="1399"/>
      <c r="C81" s="535" t="s">
        <v>238</v>
      </c>
      <c r="D81" s="595" t="s">
        <v>293</v>
      </c>
      <c r="E81" s="431" t="s">
        <v>385</v>
      </c>
      <c r="F81" s="567" t="s">
        <v>206</v>
      </c>
      <c r="G81" s="568">
        <v>1</v>
      </c>
      <c r="H81" s="567">
        <v>0.27</v>
      </c>
      <c r="I81" s="608">
        <v>0.17</v>
      </c>
      <c r="J81" s="608">
        <v>2.1</v>
      </c>
      <c r="K81" s="569">
        <v>42523</v>
      </c>
      <c r="L81" s="597" t="s">
        <v>381</v>
      </c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x14ac:dyDescent="0.2">
      <c r="A82" s="460"/>
      <c r="B82" s="1399"/>
      <c r="C82" s="598" t="s">
        <v>239</v>
      </c>
      <c r="D82" s="599" t="s">
        <v>290</v>
      </c>
      <c r="E82" s="411">
        <v>27755</v>
      </c>
      <c r="F82" s="409">
        <v>499.68</v>
      </c>
      <c r="G82" s="468">
        <v>5</v>
      </c>
      <c r="H82" s="409">
        <v>-0.32</v>
      </c>
      <c r="I82" s="409">
        <v>2.9</v>
      </c>
      <c r="J82" s="468">
        <v>2</v>
      </c>
      <c r="K82" s="410">
        <v>43010</v>
      </c>
      <c r="L82" s="609" t="s">
        <v>386</v>
      </c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460"/>
      <c r="B83" s="1399"/>
      <c r="C83" s="598" t="s">
        <v>240</v>
      </c>
      <c r="D83" s="599" t="s">
        <v>290</v>
      </c>
      <c r="E83" s="409">
        <v>27756</v>
      </c>
      <c r="F83" s="409">
        <v>500.25</v>
      </c>
      <c r="G83" s="468">
        <v>5</v>
      </c>
      <c r="H83" s="409">
        <v>0.25</v>
      </c>
      <c r="I83" s="409">
        <v>2.9</v>
      </c>
      <c r="J83" s="468">
        <v>2</v>
      </c>
      <c r="K83" s="410">
        <v>43011</v>
      </c>
      <c r="L83" s="609" t="s">
        <v>387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460"/>
      <c r="B84" s="1399"/>
      <c r="C84" s="598" t="s">
        <v>241</v>
      </c>
      <c r="D84" s="599" t="s">
        <v>290</v>
      </c>
      <c r="E84" s="409">
        <v>27757</v>
      </c>
      <c r="F84" s="409">
        <v>500.46</v>
      </c>
      <c r="G84" s="468">
        <v>5</v>
      </c>
      <c r="H84" s="409">
        <v>0.46</v>
      </c>
      <c r="I84" s="409">
        <v>2.9</v>
      </c>
      <c r="J84" s="468">
        <v>2</v>
      </c>
      <c r="K84" s="410">
        <v>43017</v>
      </c>
      <c r="L84" s="609" t="s">
        <v>388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x14ac:dyDescent="0.2">
      <c r="A85" s="460"/>
      <c r="B85" s="1399"/>
      <c r="C85" s="598" t="s">
        <v>242</v>
      </c>
      <c r="D85" s="599" t="s">
        <v>290</v>
      </c>
      <c r="E85" s="409">
        <v>27758</v>
      </c>
      <c r="F85" s="409">
        <v>500.34800000000001</v>
      </c>
      <c r="G85" s="468">
        <v>5</v>
      </c>
      <c r="H85" s="409">
        <v>0.34799999999999998</v>
      </c>
      <c r="I85" s="409">
        <v>3.5000000000000003E-2</v>
      </c>
      <c r="J85" s="409">
        <v>2</v>
      </c>
      <c r="K85" s="410">
        <v>42769</v>
      </c>
      <c r="L85" s="609" t="s">
        <v>389</v>
      </c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thickBot="1" x14ac:dyDescent="0.25">
      <c r="A86" s="460"/>
      <c r="B86" s="1400"/>
      <c r="C86" s="601" t="s">
        <v>243</v>
      </c>
      <c r="D86" s="602" t="s">
        <v>290</v>
      </c>
      <c r="E86" s="574">
        <v>27759</v>
      </c>
      <c r="F86" s="574">
        <v>1000.625</v>
      </c>
      <c r="G86" s="604">
        <v>10</v>
      </c>
      <c r="H86" s="574">
        <v>0.625</v>
      </c>
      <c r="I86" s="574">
        <v>3.9E-2</v>
      </c>
      <c r="J86" s="574">
        <v>2</v>
      </c>
      <c r="K86" s="575">
        <v>42769</v>
      </c>
      <c r="L86" s="610" t="s">
        <v>390</v>
      </c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460"/>
      <c r="B87" s="390"/>
      <c r="C87" s="405"/>
      <c r="D87" s="405"/>
      <c r="E87" s="405"/>
      <c r="F87" s="405"/>
      <c r="G87" s="405"/>
      <c r="H87" s="405"/>
      <c r="I87" s="405"/>
      <c r="J87" s="405"/>
      <c r="K87" s="527"/>
      <c r="L87" s="405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thickBot="1" x14ac:dyDescent="0.25">
      <c r="A88" s="460"/>
      <c r="B88" s="1374" t="s">
        <v>212</v>
      </c>
      <c r="C88" s="1375"/>
      <c r="D88" s="1375"/>
      <c r="E88" s="1375"/>
      <c r="F88" s="1375"/>
      <c r="G88" s="1375"/>
      <c r="H88" s="1375"/>
      <c r="I88" s="1375"/>
      <c r="J88" s="1375"/>
      <c r="K88" s="1375"/>
      <c r="L88" s="1376"/>
      <c r="M88" s="499"/>
      <c r="N88" s="482"/>
      <c r="O88" s="577"/>
      <c r="P88" s="390"/>
      <c r="Q88" s="424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60" customHeight="1" thickBot="1" x14ac:dyDescent="0.25">
      <c r="A89" s="460"/>
      <c r="B89" s="1371" t="s">
        <v>201</v>
      </c>
      <c r="C89" s="528"/>
      <c r="D89" s="559" t="s">
        <v>43</v>
      </c>
      <c r="E89" s="560" t="s">
        <v>284</v>
      </c>
      <c r="F89" s="559" t="s">
        <v>283</v>
      </c>
      <c r="G89" s="559" t="s">
        <v>187</v>
      </c>
      <c r="H89" s="559" t="s">
        <v>246</v>
      </c>
      <c r="I89" s="559" t="s">
        <v>185</v>
      </c>
      <c r="J89" s="559" t="s">
        <v>247</v>
      </c>
      <c r="K89" s="561" t="s">
        <v>186</v>
      </c>
      <c r="L89" s="505" t="s">
        <v>300</v>
      </c>
      <c r="M89" s="499"/>
      <c r="N89" s="482"/>
      <c r="O89" s="577"/>
      <c r="P89" s="390"/>
      <c r="Q89" s="424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460"/>
      <c r="B90" s="1389"/>
      <c r="C90" s="611"/>
      <c r="D90" s="612"/>
      <c r="E90" s="532"/>
      <c r="F90" s="532"/>
      <c r="G90" s="532"/>
      <c r="H90" s="532"/>
      <c r="I90" s="532"/>
      <c r="J90" s="532"/>
      <c r="K90" s="533"/>
      <c r="L90" s="552"/>
      <c r="M90" s="499"/>
      <c r="N90" s="482"/>
      <c r="O90" s="577"/>
      <c r="P90" s="390"/>
      <c r="Q90" s="424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thickBot="1" x14ac:dyDescent="0.25">
      <c r="A91" s="460"/>
      <c r="B91" s="1390"/>
      <c r="C91" s="613" t="s">
        <v>245</v>
      </c>
      <c r="D91" s="614" t="s">
        <v>295</v>
      </c>
      <c r="E91" s="615" t="s">
        <v>244</v>
      </c>
      <c r="F91" s="616">
        <v>120</v>
      </c>
      <c r="G91" s="616">
        <v>1E-4</v>
      </c>
      <c r="H91" s="616">
        <v>6.9499999999999998E-4</v>
      </c>
      <c r="I91" s="616">
        <v>1.5999999999999999E-5</v>
      </c>
      <c r="J91" s="616">
        <v>2.2999999999999998</v>
      </c>
      <c r="K91" s="617">
        <v>42846</v>
      </c>
      <c r="L91" s="618" t="s">
        <v>391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460"/>
      <c r="B92" s="619"/>
      <c r="C92" s="528"/>
      <c r="D92" s="620"/>
      <c r="E92" s="528"/>
      <c r="F92" s="528"/>
      <c r="G92" s="528"/>
      <c r="H92" s="528"/>
      <c r="I92" s="528"/>
      <c r="J92" s="528"/>
      <c r="K92" s="621"/>
      <c r="L92" s="622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460"/>
      <c r="B93" s="390"/>
      <c r="C93" s="405"/>
      <c r="D93" s="405"/>
      <c r="E93" s="405"/>
      <c r="F93" s="405"/>
      <c r="G93" s="405"/>
      <c r="H93" s="405"/>
      <c r="I93" s="405"/>
      <c r="J93" s="405"/>
      <c r="K93" s="527"/>
      <c r="L93" s="405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thickBot="1" x14ac:dyDescent="0.25">
      <c r="A94" s="460"/>
      <c r="B94" s="1374" t="s">
        <v>211</v>
      </c>
      <c r="C94" s="1375"/>
      <c r="D94" s="1375"/>
      <c r="E94" s="1375"/>
      <c r="F94" s="1375"/>
      <c r="G94" s="1375"/>
      <c r="H94" s="1375"/>
      <c r="I94" s="1375"/>
      <c r="J94" s="1375"/>
      <c r="K94" s="1375"/>
      <c r="L94" s="1376"/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60" customHeight="1" thickBot="1" x14ac:dyDescent="0.25">
      <c r="A95" s="460"/>
      <c r="B95" s="390"/>
      <c r="C95" s="528"/>
      <c r="D95" s="623" t="s">
        <v>43</v>
      </c>
      <c r="E95" s="624" t="s">
        <v>284</v>
      </c>
      <c r="F95" s="625" t="s">
        <v>285</v>
      </c>
      <c r="G95" s="625" t="s">
        <v>187</v>
      </c>
      <c r="H95" s="625" t="s">
        <v>246</v>
      </c>
      <c r="I95" s="625" t="s">
        <v>185</v>
      </c>
      <c r="J95" s="625" t="s">
        <v>247</v>
      </c>
      <c r="K95" s="626" t="s">
        <v>186</v>
      </c>
      <c r="L95" s="627" t="s">
        <v>300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460"/>
      <c r="B96" s="390"/>
      <c r="C96" s="528"/>
      <c r="D96" s="606"/>
      <c r="E96" s="526"/>
      <c r="F96" s="526"/>
      <c r="G96" s="526"/>
      <c r="H96" s="526"/>
      <c r="I96" s="526"/>
      <c r="J96" s="526"/>
      <c r="K96" s="607"/>
      <c r="L96" s="481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460"/>
      <c r="B97" s="1377" t="s">
        <v>208</v>
      </c>
      <c r="C97" s="535" t="s">
        <v>392</v>
      </c>
      <c r="D97" s="1380" t="s">
        <v>294</v>
      </c>
      <c r="E97" s="431">
        <v>16901291</v>
      </c>
      <c r="F97" s="628">
        <v>4.9800000000000004</v>
      </c>
      <c r="G97" s="628">
        <v>0.01</v>
      </c>
      <c r="H97" s="629">
        <v>-2E-3</v>
      </c>
      <c r="I97" s="629">
        <v>1E-3</v>
      </c>
      <c r="J97" s="630">
        <v>2</v>
      </c>
      <c r="K97" s="569">
        <v>43133</v>
      </c>
      <c r="L97" s="631" t="s">
        <v>394</v>
      </c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x14ac:dyDescent="0.2">
      <c r="A98" s="460"/>
      <c r="B98" s="1378"/>
      <c r="C98" s="598" t="s">
        <v>350</v>
      </c>
      <c r="D98" s="1381"/>
      <c r="E98" s="411">
        <v>16901291</v>
      </c>
      <c r="F98" s="632">
        <v>21.49</v>
      </c>
      <c r="G98" s="632">
        <v>0.01</v>
      </c>
      <c r="H98" s="633">
        <v>-1E-3</v>
      </c>
      <c r="I98" s="633">
        <v>1E-3</v>
      </c>
      <c r="J98" s="634">
        <v>2</v>
      </c>
      <c r="K98" s="410">
        <v>43133</v>
      </c>
      <c r="L98" s="515" t="s">
        <v>394</v>
      </c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460"/>
      <c r="B99" s="1378"/>
      <c r="C99" s="598" t="s">
        <v>351</v>
      </c>
      <c r="D99" s="1381"/>
      <c r="E99" s="411">
        <v>16901291</v>
      </c>
      <c r="F99" s="635">
        <v>50</v>
      </c>
      <c r="G99" s="632">
        <v>0.01</v>
      </c>
      <c r="H99" s="635">
        <v>0</v>
      </c>
      <c r="I99" s="633">
        <v>1E-3</v>
      </c>
      <c r="J99" s="634">
        <v>2</v>
      </c>
      <c r="K99" s="410">
        <v>43133</v>
      </c>
      <c r="L99" s="515" t="s">
        <v>394</v>
      </c>
      <c r="M99" s="499"/>
      <c r="N99" s="482"/>
      <c r="O99" s="577"/>
      <c r="P99" s="390"/>
      <c r="Q99" s="424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5.1" customHeight="1" x14ac:dyDescent="0.2">
      <c r="A100" s="460"/>
      <c r="B100" s="1378"/>
      <c r="C100" s="598" t="s">
        <v>393</v>
      </c>
      <c r="D100" s="1381"/>
      <c r="E100" s="411">
        <v>16901291</v>
      </c>
      <c r="F100" s="632">
        <v>71.510000000000005</v>
      </c>
      <c r="G100" s="632">
        <v>0.01</v>
      </c>
      <c r="H100" s="633">
        <v>1E-3</v>
      </c>
      <c r="I100" s="633">
        <v>1E-3</v>
      </c>
      <c r="J100" s="634">
        <v>2</v>
      </c>
      <c r="K100" s="410">
        <v>43133</v>
      </c>
      <c r="L100" s="515" t="s">
        <v>394</v>
      </c>
      <c r="M100" s="499"/>
      <c r="N100" s="482"/>
      <c r="O100" s="577"/>
      <c r="P100" s="390"/>
      <c r="Q100" s="424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5.1" customHeight="1" x14ac:dyDescent="0.2">
      <c r="A101" s="460"/>
      <c r="B101" s="1378"/>
      <c r="C101" s="598" t="s">
        <v>352</v>
      </c>
      <c r="D101" s="1381"/>
      <c r="E101" s="411">
        <v>16901291</v>
      </c>
      <c r="F101" s="632">
        <v>100.01</v>
      </c>
      <c r="G101" s="632">
        <v>0.01</v>
      </c>
      <c r="H101" s="636">
        <v>8.0000000000000002E-3</v>
      </c>
      <c r="I101" s="633">
        <v>1E-3</v>
      </c>
      <c r="J101" s="634">
        <v>2</v>
      </c>
      <c r="K101" s="410">
        <v>43133</v>
      </c>
      <c r="L101" s="515" t="s">
        <v>394</v>
      </c>
      <c r="M101" s="499"/>
      <c r="N101" s="482"/>
      <c r="O101" s="577"/>
      <c r="P101" s="390"/>
      <c r="Q101" s="424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5.1" customHeight="1" x14ac:dyDescent="0.2">
      <c r="A102" s="460"/>
      <c r="B102" s="1378"/>
      <c r="C102" s="598" t="s">
        <v>353</v>
      </c>
      <c r="D102" s="1381"/>
      <c r="E102" s="411">
        <v>16901291</v>
      </c>
      <c r="F102" s="635">
        <v>150</v>
      </c>
      <c r="G102" s="632">
        <v>0.01</v>
      </c>
      <c r="H102" s="635">
        <v>0</v>
      </c>
      <c r="I102" s="633">
        <v>1E-3</v>
      </c>
      <c r="J102" s="634">
        <v>2</v>
      </c>
      <c r="K102" s="410">
        <v>43133</v>
      </c>
      <c r="L102" s="515" t="s">
        <v>394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5.1" customHeight="1" thickBot="1" x14ac:dyDescent="0.25">
      <c r="A103" s="460"/>
      <c r="B103" s="1379"/>
      <c r="C103" s="601" t="s">
        <v>354</v>
      </c>
      <c r="D103" s="1382"/>
      <c r="E103" s="603">
        <v>16901291</v>
      </c>
      <c r="F103" s="637">
        <v>200</v>
      </c>
      <c r="G103" s="638">
        <v>0.01</v>
      </c>
      <c r="H103" s="637">
        <v>0</v>
      </c>
      <c r="I103" s="639">
        <v>1E-3</v>
      </c>
      <c r="J103" s="640">
        <v>2</v>
      </c>
      <c r="K103" s="575">
        <v>43133</v>
      </c>
      <c r="L103" s="641" t="s">
        <v>394</v>
      </c>
      <c r="M103" s="499"/>
      <c r="N103" s="482"/>
      <c r="O103" s="577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H103" s="390"/>
      <c r="AI103" s="528"/>
      <c r="AJ103" s="528"/>
      <c r="AK103" s="528"/>
      <c r="AL103" s="528"/>
      <c r="AM103" s="528"/>
      <c r="AN103" s="528"/>
      <c r="AO103" s="528"/>
      <c r="AP103" s="528"/>
      <c r="AQ103" s="621"/>
      <c r="AR103" s="642"/>
      <c r="AS103" s="528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5.1" customHeight="1" thickBot="1" x14ac:dyDescent="0.25">
      <c r="A104" s="460"/>
      <c r="B104" s="390"/>
      <c r="C104" s="611"/>
      <c r="D104" s="643"/>
      <c r="E104" s="682"/>
      <c r="F104" s="580"/>
      <c r="G104" s="580"/>
      <c r="H104" s="644"/>
      <c r="I104" s="580"/>
      <c r="J104" s="580"/>
      <c r="K104" s="581"/>
      <c r="L104" s="645"/>
      <c r="M104" s="499"/>
      <c r="N104" s="482"/>
      <c r="O104" s="390"/>
      <c r="Q104" s="390"/>
      <c r="R104" s="390"/>
      <c r="S104" s="390"/>
      <c r="T104" s="642"/>
      <c r="U104" s="642"/>
      <c r="V104" s="642"/>
      <c r="W104" s="642"/>
      <c r="X104" s="642"/>
      <c r="Y104" s="642"/>
      <c r="Z104" s="642"/>
      <c r="AA104" s="642"/>
      <c r="AB104" s="642"/>
      <c r="AC104" s="390"/>
      <c r="AD104" s="390"/>
      <c r="AH104" s="390"/>
      <c r="AI104" s="390"/>
      <c r="AJ104" s="390"/>
      <c r="AK104" s="390"/>
      <c r="AL104" s="390"/>
      <c r="AM104" s="390"/>
      <c r="AN104" s="390"/>
      <c r="AO104" s="390"/>
      <c r="AP104" s="390"/>
      <c r="AQ104" s="467"/>
      <c r="AR104" s="390"/>
      <c r="AS104" s="528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5.1" customHeight="1" x14ac:dyDescent="0.2">
      <c r="A105" s="460"/>
      <c r="B105" s="1383" t="s">
        <v>209</v>
      </c>
      <c r="C105" s="464" t="s">
        <v>392</v>
      </c>
      <c r="D105" s="1386" t="s">
        <v>294</v>
      </c>
      <c r="E105" s="431">
        <v>16901291</v>
      </c>
      <c r="F105" s="646">
        <v>5</v>
      </c>
      <c r="G105" s="628">
        <v>0.01</v>
      </c>
      <c r="H105" s="646">
        <v>0</v>
      </c>
      <c r="I105" s="629">
        <v>1E-3</v>
      </c>
      <c r="J105" s="630">
        <v>2</v>
      </c>
      <c r="K105" s="569">
        <v>43133</v>
      </c>
      <c r="L105" s="647" t="s">
        <v>394</v>
      </c>
      <c r="M105" s="499"/>
      <c r="N105" s="482"/>
      <c r="O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  <c r="AA105" s="390"/>
      <c r="AB105" s="390"/>
      <c r="AC105" s="390"/>
      <c r="AD105" s="390"/>
      <c r="AH105" s="390"/>
      <c r="AI105" s="390"/>
      <c r="AJ105" s="390"/>
      <c r="AK105" s="390"/>
      <c r="AL105" s="390"/>
      <c r="AM105" s="390"/>
      <c r="AN105" s="390"/>
      <c r="AO105" s="390"/>
      <c r="AP105" s="390"/>
      <c r="AQ105" s="467"/>
      <c r="AR105" s="390"/>
      <c r="AS105" s="642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5.1" customHeight="1" x14ac:dyDescent="0.2">
      <c r="A106" s="460"/>
      <c r="B106" s="1384"/>
      <c r="C106" s="408" t="s">
        <v>350</v>
      </c>
      <c r="D106" s="1387"/>
      <c r="E106" s="411">
        <v>16901291</v>
      </c>
      <c r="F106" s="635">
        <v>21.51</v>
      </c>
      <c r="G106" s="632">
        <v>0.01</v>
      </c>
      <c r="H106" s="633">
        <v>1E-3</v>
      </c>
      <c r="I106" s="633">
        <v>1E-3</v>
      </c>
      <c r="J106" s="634">
        <v>2</v>
      </c>
      <c r="K106" s="410">
        <v>43133</v>
      </c>
      <c r="L106" s="648" t="s">
        <v>394</v>
      </c>
      <c r="M106" s="499"/>
      <c r="N106" s="482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BD106" s="390"/>
      <c r="BE106" s="390"/>
      <c r="BF106" s="390"/>
    </row>
    <row r="107" spans="1:58" ht="35.1" customHeight="1" x14ac:dyDescent="0.2">
      <c r="A107" s="460"/>
      <c r="B107" s="1384"/>
      <c r="C107" s="408" t="s">
        <v>351</v>
      </c>
      <c r="D107" s="1387"/>
      <c r="E107" s="411">
        <v>16901291</v>
      </c>
      <c r="F107" s="635">
        <v>50.01</v>
      </c>
      <c r="G107" s="632">
        <v>0.01</v>
      </c>
      <c r="H107" s="633">
        <v>1E-3</v>
      </c>
      <c r="I107" s="633">
        <v>1E-3</v>
      </c>
      <c r="J107" s="634">
        <v>2</v>
      </c>
      <c r="K107" s="410">
        <v>43133</v>
      </c>
      <c r="L107" s="648" t="s">
        <v>394</v>
      </c>
      <c r="M107" s="499"/>
      <c r="N107" s="482"/>
      <c r="T107" s="393"/>
      <c r="U107" s="393"/>
      <c r="V107" s="393"/>
      <c r="W107" s="393"/>
      <c r="X107" s="393"/>
      <c r="Y107" s="393"/>
      <c r="Z107" s="393"/>
      <c r="AA107" s="393"/>
      <c r="AB107" s="393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5.1" customHeight="1" x14ac:dyDescent="0.2">
      <c r="A108" s="460"/>
      <c r="B108" s="1384"/>
      <c r="C108" s="408" t="s">
        <v>393</v>
      </c>
      <c r="D108" s="1387"/>
      <c r="E108" s="411">
        <v>16901291</v>
      </c>
      <c r="F108" s="635">
        <v>71.510000000000005</v>
      </c>
      <c r="G108" s="632">
        <v>0.01</v>
      </c>
      <c r="H108" s="633">
        <v>1E-3</v>
      </c>
      <c r="I108" s="633">
        <v>1E-3</v>
      </c>
      <c r="J108" s="634">
        <v>2</v>
      </c>
      <c r="K108" s="410">
        <v>43133</v>
      </c>
      <c r="L108" s="648" t="s">
        <v>394</v>
      </c>
      <c r="M108" s="499"/>
      <c r="N108" s="482"/>
      <c r="T108" s="393"/>
      <c r="U108" s="393"/>
      <c r="V108" s="393"/>
      <c r="W108" s="393"/>
      <c r="X108" s="393"/>
      <c r="Y108" s="393"/>
      <c r="Z108" s="393"/>
      <c r="AA108" s="393"/>
      <c r="AB108" s="393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5.1" customHeight="1" x14ac:dyDescent="0.2">
      <c r="A109" s="460"/>
      <c r="B109" s="1384"/>
      <c r="C109" s="408" t="s">
        <v>352</v>
      </c>
      <c r="D109" s="1387"/>
      <c r="E109" s="411">
        <v>16901291</v>
      </c>
      <c r="F109" s="635">
        <v>100.01</v>
      </c>
      <c r="G109" s="632">
        <v>0.01</v>
      </c>
      <c r="H109" s="633">
        <v>1E-3</v>
      </c>
      <c r="I109" s="633">
        <v>1E-3</v>
      </c>
      <c r="J109" s="634">
        <v>2</v>
      </c>
      <c r="K109" s="410">
        <v>43133</v>
      </c>
      <c r="L109" s="648" t="s">
        <v>394</v>
      </c>
      <c r="M109" s="499"/>
      <c r="N109" s="482"/>
    </row>
    <row r="110" spans="1:58" ht="35.1" customHeight="1" x14ac:dyDescent="0.2">
      <c r="A110" s="460"/>
      <c r="B110" s="1384"/>
      <c r="C110" s="408" t="s">
        <v>353</v>
      </c>
      <c r="D110" s="1387"/>
      <c r="E110" s="411">
        <v>16901291</v>
      </c>
      <c r="F110" s="635">
        <v>150.01</v>
      </c>
      <c r="G110" s="632">
        <v>0.01</v>
      </c>
      <c r="H110" s="633">
        <v>1E-3</v>
      </c>
      <c r="I110" s="633">
        <v>1E-3</v>
      </c>
      <c r="J110" s="634">
        <v>2</v>
      </c>
      <c r="K110" s="410">
        <v>43133</v>
      </c>
      <c r="L110" s="648" t="s">
        <v>394</v>
      </c>
      <c r="M110" s="499"/>
      <c r="N110" s="482"/>
    </row>
    <row r="111" spans="1:58" ht="35.1" customHeight="1" thickBot="1" x14ac:dyDescent="0.25">
      <c r="A111" s="460"/>
      <c r="B111" s="1385"/>
      <c r="C111" s="473" t="s">
        <v>354</v>
      </c>
      <c r="D111" s="1388"/>
      <c r="E111" s="603">
        <v>16901291</v>
      </c>
      <c r="F111" s="637">
        <v>200</v>
      </c>
      <c r="G111" s="638">
        <v>0.01</v>
      </c>
      <c r="H111" s="639">
        <v>0</v>
      </c>
      <c r="I111" s="639">
        <v>1E-3</v>
      </c>
      <c r="J111" s="640">
        <v>2</v>
      </c>
      <c r="K111" s="575">
        <v>43133</v>
      </c>
      <c r="L111" s="649" t="s">
        <v>394</v>
      </c>
      <c r="M111" s="499"/>
      <c r="N111" s="482"/>
    </row>
    <row r="112" spans="1:58" ht="35.1" customHeight="1" x14ac:dyDescent="0.2">
      <c r="A112" s="460"/>
      <c r="B112" s="390"/>
      <c r="C112" s="405"/>
      <c r="D112" s="528"/>
      <c r="E112" s="405"/>
      <c r="F112" s="405"/>
      <c r="G112" s="405"/>
      <c r="H112" s="405"/>
      <c r="I112" s="405"/>
      <c r="J112" s="405"/>
      <c r="K112" s="527"/>
      <c r="L112" s="405"/>
      <c r="M112" s="499"/>
      <c r="N112" s="482"/>
    </row>
    <row r="113" spans="1:14" ht="35.1" customHeight="1" thickBot="1" x14ac:dyDescent="0.25">
      <c r="A113" s="460"/>
      <c r="B113" s="390"/>
      <c r="C113" s="405"/>
      <c r="D113" s="528"/>
      <c r="E113" s="405"/>
      <c r="F113" s="405"/>
      <c r="G113" s="405"/>
      <c r="H113" s="405"/>
      <c r="I113" s="405"/>
      <c r="J113" s="405"/>
      <c r="K113" s="527"/>
      <c r="L113" s="405"/>
      <c r="M113" s="499"/>
      <c r="N113" s="482"/>
    </row>
    <row r="114" spans="1:14" ht="35.1" customHeight="1" thickBot="1" x14ac:dyDescent="0.25">
      <c r="A114" s="460"/>
      <c r="B114" s="1374" t="s">
        <v>211</v>
      </c>
      <c r="C114" s="1375"/>
      <c r="D114" s="1375"/>
      <c r="E114" s="1375"/>
      <c r="F114" s="1375"/>
      <c r="G114" s="1375"/>
      <c r="H114" s="1375"/>
      <c r="I114" s="1375"/>
      <c r="J114" s="1375"/>
      <c r="K114" s="1375"/>
      <c r="L114" s="1376"/>
      <c r="M114" s="499"/>
      <c r="N114" s="482"/>
    </row>
    <row r="115" spans="1:14" ht="60" customHeight="1" thickBot="1" x14ac:dyDescent="0.25">
      <c r="A115" s="460"/>
      <c r="B115" s="1371" t="s">
        <v>207</v>
      </c>
      <c r="C115" s="390"/>
      <c r="D115" s="559" t="s">
        <v>43</v>
      </c>
      <c r="E115" s="560" t="s">
        <v>284</v>
      </c>
      <c r="F115" s="559" t="s">
        <v>283</v>
      </c>
      <c r="G115" s="559" t="s">
        <v>187</v>
      </c>
      <c r="H115" s="559" t="s">
        <v>246</v>
      </c>
      <c r="I115" s="559" t="s">
        <v>185</v>
      </c>
      <c r="J115" s="559" t="s">
        <v>247</v>
      </c>
      <c r="K115" s="561" t="s">
        <v>186</v>
      </c>
      <c r="L115" s="650" t="s">
        <v>300</v>
      </c>
      <c r="M115" s="499"/>
      <c r="N115" s="482"/>
    </row>
    <row r="116" spans="1:14" ht="35.1" customHeight="1" x14ac:dyDescent="0.25">
      <c r="A116" s="460"/>
      <c r="B116" s="1372"/>
      <c r="C116" s="651"/>
      <c r="D116" s="378"/>
      <c r="E116" s="379"/>
      <c r="F116" s="379"/>
      <c r="G116" s="379"/>
      <c r="H116" s="379"/>
      <c r="I116" s="379"/>
      <c r="J116" s="379"/>
      <c r="K116" s="380"/>
      <c r="L116" s="381"/>
      <c r="M116" s="499"/>
      <c r="N116" s="482"/>
    </row>
    <row r="117" spans="1:14" ht="35.1" customHeight="1" thickBot="1" x14ac:dyDescent="0.25">
      <c r="A117" s="460"/>
      <c r="B117" s="1373"/>
      <c r="C117" s="601" t="s">
        <v>296</v>
      </c>
      <c r="D117" s="652" t="s">
        <v>294</v>
      </c>
      <c r="E117" s="653">
        <v>63091842</v>
      </c>
      <c r="F117" s="654">
        <v>25</v>
      </c>
      <c r="G117" s="654">
        <v>1.2999999999999999E-3</v>
      </c>
      <c r="H117" s="654">
        <v>0</v>
      </c>
      <c r="I117" s="654">
        <v>8.9999999999999993E-3</v>
      </c>
      <c r="J117" s="655">
        <v>2</v>
      </c>
      <c r="K117" s="656">
        <v>43132</v>
      </c>
      <c r="L117" s="657" t="s">
        <v>395</v>
      </c>
      <c r="M117" s="658"/>
      <c r="N117" s="482"/>
    </row>
    <row r="118" spans="1:14" ht="35.1" customHeight="1" thickBot="1" x14ac:dyDescent="0.25">
      <c r="A118" s="659"/>
      <c r="B118" s="660"/>
      <c r="C118" s="661"/>
      <c r="D118" s="662"/>
      <c r="E118" s="663"/>
      <c r="F118" s="663"/>
      <c r="G118" s="663"/>
      <c r="H118" s="663"/>
      <c r="I118" s="663"/>
      <c r="J118" s="663"/>
      <c r="K118" s="664"/>
      <c r="L118" s="665"/>
      <c r="M118" s="666"/>
      <c r="N118" s="667"/>
    </row>
    <row r="188" spans="74:77" ht="35.1" customHeight="1" x14ac:dyDescent="0.25">
      <c r="BV188" s="400"/>
      <c r="BW188" s="400"/>
      <c r="BX188" s="400"/>
      <c r="BY188" s="400"/>
    </row>
    <row r="189" spans="74:77" ht="35.1" customHeight="1" x14ac:dyDescent="0.25">
      <c r="BV189" s="400"/>
      <c r="BW189" s="400"/>
      <c r="BX189" s="400"/>
      <c r="BY189" s="400"/>
    </row>
    <row r="190" spans="74:77" ht="35.1" customHeight="1" x14ac:dyDescent="0.25">
      <c r="BV190" s="400"/>
      <c r="BW190" s="400"/>
      <c r="BX190" s="400"/>
      <c r="BY190" s="400"/>
    </row>
    <row r="191" spans="74:77" ht="35.1" customHeight="1" x14ac:dyDescent="0.25">
      <c r="BV191" s="400"/>
      <c r="BW191" s="400"/>
      <c r="BX191" s="400"/>
      <c r="BY191" s="400"/>
    </row>
  </sheetData>
  <dataConsolidate/>
  <mergeCells count="46">
    <mergeCell ref="E1:M1"/>
    <mergeCell ref="D5:L5"/>
    <mergeCell ref="Q6:V6"/>
    <mergeCell ref="R7:V7"/>
    <mergeCell ref="R8:S8"/>
    <mergeCell ref="T8:V8"/>
    <mergeCell ref="B29:B32"/>
    <mergeCell ref="B11:N12"/>
    <mergeCell ref="T11:V11"/>
    <mergeCell ref="T12:V12"/>
    <mergeCell ref="Q14:S14"/>
    <mergeCell ref="T14:V14"/>
    <mergeCell ref="Q15:S15"/>
    <mergeCell ref="U15:X15"/>
    <mergeCell ref="Q16:S16"/>
    <mergeCell ref="U16:X16"/>
    <mergeCell ref="B21:M21"/>
    <mergeCell ref="Q23:S23"/>
    <mergeCell ref="B28:L28"/>
    <mergeCell ref="B35:L35"/>
    <mergeCell ref="B37:B40"/>
    <mergeCell ref="D38:D40"/>
    <mergeCell ref="L38:L40"/>
    <mergeCell ref="B41:B44"/>
    <mergeCell ref="D42:D44"/>
    <mergeCell ref="L42:L44"/>
    <mergeCell ref="B89:B91"/>
    <mergeCell ref="B46:L46"/>
    <mergeCell ref="B48:B67"/>
    <mergeCell ref="D49:D51"/>
    <mergeCell ref="D53:D55"/>
    <mergeCell ref="D57:D59"/>
    <mergeCell ref="D61:D63"/>
    <mergeCell ref="D65:D67"/>
    <mergeCell ref="B69:L69"/>
    <mergeCell ref="B71:B76"/>
    <mergeCell ref="B78:L78"/>
    <mergeCell ref="B80:B86"/>
    <mergeCell ref="B88:L88"/>
    <mergeCell ref="B115:B117"/>
    <mergeCell ref="B94:L94"/>
    <mergeCell ref="B97:B103"/>
    <mergeCell ref="D97:D103"/>
    <mergeCell ref="B105:B111"/>
    <mergeCell ref="D105:D111"/>
    <mergeCell ref="B114:L114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P231"/>
  <sheetViews>
    <sheetView showGridLines="0" view="pageBreakPreview" topLeftCell="B1" zoomScaleNormal="50" zoomScaleSheetLayoutView="100" workbookViewId="0">
      <selection activeCell="D9" sqref="D9"/>
    </sheetView>
  </sheetViews>
  <sheetFormatPr baseColWidth="10" defaultColWidth="15.7109375" defaultRowHeight="35.1" customHeight="1" x14ac:dyDescent="0.2"/>
  <cols>
    <col min="1" max="3" width="15.7109375" style="393"/>
    <col min="4" max="4" width="23.7109375" style="393" bestFit="1" customWidth="1"/>
    <col min="5" max="5" width="19.140625" style="393" customWidth="1"/>
    <col min="6" max="6" width="15.7109375" style="393"/>
    <col min="7" max="7" width="17.28515625" style="393" customWidth="1"/>
    <col min="8" max="8" width="18.140625" style="393" customWidth="1"/>
    <col min="9" max="9" width="18.28515625" style="393" customWidth="1"/>
    <col min="10" max="10" width="16.5703125" style="393" customWidth="1"/>
    <col min="11" max="11" width="19.7109375" style="393" customWidth="1"/>
    <col min="12" max="12" width="18.5703125" style="393" customWidth="1"/>
    <col min="13" max="13" width="18" style="393" customWidth="1"/>
    <col min="14" max="14" width="18.85546875" style="393" customWidth="1"/>
    <col min="15" max="15" width="18.28515625" style="393" customWidth="1"/>
    <col min="16" max="16" width="16.5703125" style="393" customWidth="1"/>
    <col min="17" max="17" width="12.28515625" style="393" customWidth="1"/>
    <col min="18" max="18" width="15.42578125" style="393" customWidth="1"/>
    <col min="19" max="19" width="16.5703125" style="393" customWidth="1"/>
    <col min="20" max="22" width="15.7109375" style="397"/>
    <col min="23" max="23" width="16.5703125" style="397" customWidth="1"/>
    <col min="24" max="24" width="11.7109375" style="397" customWidth="1"/>
    <col min="25" max="25" width="18.28515625" style="397" customWidth="1"/>
    <col min="26" max="28" width="16" style="397" customWidth="1"/>
    <col min="29" max="33" width="16" style="393" customWidth="1"/>
    <col min="34" max="40" width="20.7109375" style="393" customWidth="1"/>
    <col min="41" max="42" width="15.7109375" style="393"/>
    <col min="43" max="43" width="15.7109375" style="396"/>
    <col min="44" max="45" width="15.7109375" style="393"/>
    <col min="46" max="56" width="16" style="393" customWidth="1"/>
    <col min="57" max="58" width="16" style="393" bestFit="1" customWidth="1"/>
    <col min="59" max="16384" width="15.7109375" style="393"/>
  </cols>
  <sheetData>
    <row r="1" spans="1:94" ht="80.099999999999994" customHeight="1" thickBot="1" x14ac:dyDescent="0.25">
      <c r="A1" s="390"/>
      <c r="B1" s="390"/>
      <c r="C1" s="391"/>
      <c r="D1" s="392"/>
      <c r="E1" s="1436" t="s">
        <v>358</v>
      </c>
      <c r="F1" s="1437"/>
      <c r="G1" s="1437"/>
      <c r="H1" s="1437"/>
      <c r="I1" s="1437"/>
      <c r="J1" s="1437"/>
      <c r="K1" s="1437"/>
      <c r="L1" s="1437"/>
      <c r="M1" s="1438"/>
      <c r="N1" s="390"/>
      <c r="P1" s="390"/>
      <c r="Q1" s="390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G1" s="390"/>
      <c r="AH1" s="390"/>
      <c r="AI1" s="394"/>
      <c r="AJ1" s="394"/>
      <c r="AK1" s="394"/>
      <c r="AL1" s="394"/>
      <c r="AM1" s="394"/>
      <c r="AN1" s="394"/>
      <c r="AO1" s="394"/>
      <c r="AP1" s="394"/>
      <c r="AQ1" s="395"/>
      <c r="AR1" s="394"/>
      <c r="AS1" s="394"/>
      <c r="AT1" s="394"/>
      <c r="AU1" s="394"/>
      <c r="AW1" s="390"/>
      <c r="AX1" s="390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</row>
    <row r="2" spans="1:94" ht="35.1" customHeight="1" x14ac:dyDescent="0.2">
      <c r="C2" s="390"/>
      <c r="T2" s="393"/>
      <c r="U2" s="393"/>
      <c r="V2" s="393"/>
      <c r="W2" s="393"/>
      <c r="X2" s="393"/>
      <c r="Y2" s="393"/>
      <c r="Z2" s="393"/>
      <c r="AA2" s="393"/>
      <c r="AB2" s="393"/>
    </row>
    <row r="3" spans="1:94" ht="35.1" customHeight="1" x14ac:dyDescent="0.2">
      <c r="U3" s="393"/>
      <c r="V3" s="393"/>
      <c r="W3" s="393"/>
      <c r="X3" s="393"/>
      <c r="Y3" s="393"/>
      <c r="Z3" s="393"/>
      <c r="AA3" s="393"/>
      <c r="AB3" s="393"/>
      <c r="AH3" s="397"/>
      <c r="AI3" s="397"/>
      <c r="AJ3" s="397"/>
      <c r="AK3" s="397"/>
      <c r="AL3" s="397"/>
      <c r="AM3" s="397"/>
      <c r="AN3" s="397"/>
      <c r="AO3" s="397"/>
      <c r="AP3" s="397"/>
    </row>
    <row r="4" spans="1:94" ht="30" customHeight="1" thickBot="1" x14ac:dyDescent="0.25">
      <c r="U4" s="393"/>
      <c r="V4" s="393"/>
      <c r="W4" s="393"/>
      <c r="X4" s="393"/>
      <c r="Y4" s="393"/>
      <c r="Z4" s="393"/>
      <c r="AA4" s="393"/>
      <c r="AB4" s="393"/>
      <c r="AV4" s="390"/>
      <c r="BE4" s="390"/>
    </row>
    <row r="5" spans="1:94" ht="69.95" customHeight="1" thickBot="1" x14ac:dyDescent="0.25">
      <c r="D5" s="1573" t="s">
        <v>322</v>
      </c>
      <c r="E5" s="1574"/>
      <c r="F5" s="1574"/>
      <c r="G5" s="1574"/>
      <c r="H5" s="1574"/>
      <c r="I5" s="1574"/>
      <c r="J5" s="1574"/>
      <c r="K5" s="1574"/>
      <c r="L5" s="1574"/>
      <c r="M5" s="1574"/>
      <c r="N5" s="1575"/>
      <c r="U5" s="393"/>
      <c r="V5" s="393"/>
      <c r="W5" s="393"/>
      <c r="X5" s="393"/>
      <c r="Y5" s="393"/>
      <c r="Z5" s="393"/>
      <c r="AA5" s="393"/>
      <c r="AB5" s="393"/>
      <c r="AD5" s="398"/>
      <c r="AV5" s="390"/>
      <c r="BE5" s="399"/>
    </row>
    <row r="6" spans="1:94" ht="69.95" customHeight="1" thickBot="1" x14ac:dyDescent="0.3">
      <c r="D6" s="720" t="s">
        <v>248</v>
      </c>
      <c r="E6" s="721" t="s">
        <v>52</v>
      </c>
      <c r="F6" s="722" t="s">
        <v>323</v>
      </c>
      <c r="G6" s="722" t="s">
        <v>622</v>
      </c>
      <c r="H6" s="722" t="s">
        <v>623</v>
      </c>
      <c r="I6" s="722" t="s">
        <v>624</v>
      </c>
      <c r="J6" s="722" t="s">
        <v>457</v>
      </c>
      <c r="K6" s="723" t="s">
        <v>51</v>
      </c>
      <c r="L6" s="723" t="s">
        <v>38</v>
      </c>
      <c r="M6" s="719" t="s">
        <v>448</v>
      </c>
      <c r="N6" s="719" t="s">
        <v>325</v>
      </c>
      <c r="AV6" s="390"/>
      <c r="BE6" s="390"/>
      <c r="BY6" s="400"/>
    </row>
    <row r="7" spans="1:94" ht="30" customHeight="1" thickBot="1" x14ac:dyDescent="0.25">
      <c r="D7" s="401"/>
      <c r="E7" s="402"/>
      <c r="F7" s="402"/>
      <c r="G7" s="402"/>
      <c r="H7" s="724"/>
      <c r="I7" s="402"/>
      <c r="J7" s="402"/>
      <c r="K7" s="402"/>
      <c r="L7" s="402"/>
      <c r="M7" s="726"/>
      <c r="N7" s="792"/>
      <c r="P7" s="1452" t="s">
        <v>543</v>
      </c>
      <c r="Q7" s="1453"/>
      <c r="R7" s="1453"/>
      <c r="S7" s="1453"/>
      <c r="T7" s="1453"/>
      <c r="U7" s="1454"/>
      <c r="AV7" s="406"/>
      <c r="BE7" s="390"/>
    </row>
    <row r="8" spans="1:94" s="407" customFormat="1" ht="35.25" customHeight="1" thickBot="1" x14ac:dyDescent="0.25">
      <c r="B8" s="393"/>
      <c r="C8" s="393"/>
      <c r="D8" s="838">
        <v>1</v>
      </c>
      <c r="E8" s="836" t="s">
        <v>547</v>
      </c>
      <c r="F8" s="986"/>
      <c r="G8" s="39" t="s">
        <v>548</v>
      </c>
      <c r="H8" s="837" t="s">
        <v>449</v>
      </c>
      <c r="I8" s="986"/>
      <c r="J8" s="987"/>
      <c r="K8" s="988"/>
      <c r="L8" s="988"/>
      <c r="M8" s="987"/>
      <c r="N8" s="989"/>
      <c r="P8" s="404" t="s">
        <v>248</v>
      </c>
      <c r="Q8" s="1442" t="s">
        <v>544</v>
      </c>
      <c r="R8" s="1443"/>
      <c r="S8" s="1443"/>
      <c r="T8" s="1443"/>
      <c r="U8" s="1444"/>
      <c r="AI8" s="393"/>
      <c r="AJ8" s="393"/>
      <c r="AV8" s="406"/>
      <c r="BE8" s="406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</row>
    <row r="9" spans="1:94" s="407" customFormat="1" ht="30" customHeight="1" thickBot="1" x14ac:dyDescent="0.25">
      <c r="B9" s="393"/>
      <c r="C9" s="393"/>
      <c r="D9" s="414"/>
      <c r="E9" s="415"/>
      <c r="F9" s="416"/>
      <c r="G9" s="415"/>
      <c r="H9" s="725"/>
      <c r="I9" s="416"/>
      <c r="J9" s="415"/>
      <c r="K9" s="415"/>
      <c r="L9" s="415"/>
      <c r="M9" s="415"/>
      <c r="N9" s="727"/>
      <c r="P9" s="413"/>
      <c r="Q9" s="1445"/>
      <c r="R9" s="1446"/>
      <c r="S9" s="1447"/>
      <c r="T9" s="1448"/>
      <c r="U9" s="1449"/>
      <c r="AI9" s="393"/>
      <c r="AJ9" s="393"/>
      <c r="AV9" s="406"/>
      <c r="BE9" s="406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</row>
    <row r="10" spans="1:94" s="407" customFormat="1" ht="30" customHeight="1" thickBot="1" x14ac:dyDescent="0.25">
      <c r="B10" s="393"/>
      <c r="C10" s="393"/>
      <c r="D10" s="424"/>
      <c r="E10" s="425"/>
      <c r="F10" s="426"/>
      <c r="G10" s="425"/>
      <c r="H10" s="426"/>
      <c r="I10" s="424"/>
      <c r="J10" s="424"/>
      <c r="K10" s="424"/>
      <c r="L10" s="424"/>
      <c r="M10" s="393"/>
      <c r="N10" s="393"/>
      <c r="O10" s="393"/>
      <c r="P10" s="838" t="s">
        <v>318</v>
      </c>
      <c r="Q10" s="858" t="s">
        <v>259</v>
      </c>
      <c r="R10" s="859"/>
      <c r="S10" s="860" t="s">
        <v>545</v>
      </c>
      <c r="T10" s="861"/>
      <c r="U10" s="862" t="s">
        <v>483</v>
      </c>
      <c r="W10" s="393"/>
      <c r="X10" s="393"/>
      <c r="AI10" s="393"/>
      <c r="AJ10" s="393"/>
      <c r="AV10" s="406"/>
      <c r="BE10" s="406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</row>
    <row r="11" spans="1:94" s="407" customFormat="1" ht="30" customHeight="1" x14ac:dyDescent="0.2">
      <c r="B11" s="1576" t="s">
        <v>498</v>
      </c>
      <c r="C11" s="1577"/>
      <c r="D11" s="1577"/>
      <c r="E11" s="1577"/>
      <c r="F11" s="1577"/>
      <c r="G11" s="1577"/>
      <c r="H11" s="1577"/>
      <c r="I11" s="1577"/>
      <c r="J11" s="1577"/>
      <c r="K11" s="1577"/>
      <c r="L11" s="1577"/>
      <c r="M11" s="1577"/>
      <c r="N11" s="1578"/>
      <c r="O11" s="393"/>
      <c r="P11" s="838" t="s">
        <v>319</v>
      </c>
      <c r="Q11" s="858" t="s">
        <v>172</v>
      </c>
      <c r="R11" s="859"/>
      <c r="S11" s="859" t="s">
        <v>546</v>
      </c>
      <c r="T11" s="859"/>
      <c r="U11" s="862" t="s">
        <v>483</v>
      </c>
      <c r="W11" s="393"/>
      <c r="X11" s="393"/>
      <c r="AI11" s="393"/>
      <c r="AJ11" s="393"/>
      <c r="AV11" s="406"/>
      <c r="BE11" s="406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</row>
    <row r="12" spans="1:94" s="407" customFormat="1" ht="30" customHeight="1" thickBot="1" x14ac:dyDescent="0.25">
      <c r="B12" s="1579"/>
      <c r="C12" s="1580"/>
      <c r="D12" s="1580"/>
      <c r="E12" s="1580"/>
      <c r="F12" s="1580"/>
      <c r="G12" s="1580"/>
      <c r="H12" s="1580"/>
      <c r="I12" s="1580"/>
      <c r="J12" s="1580"/>
      <c r="K12" s="1580"/>
      <c r="L12" s="1580"/>
      <c r="M12" s="1580"/>
      <c r="N12" s="1581"/>
      <c r="O12" s="393"/>
      <c r="P12" s="863" t="s">
        <v>321</v>
      </c>
      <c r="Q12" s="864" t="s">
        <v>257</v>
      </c>
      <c r="R12" s="865"/>
      <c r="S12" s="865" t="s">
        <v>483</v>
      </c>
      <c r="T12" s="865"/>
      <c r="U12" s="862" t="s">
        <v>483</v>
      </c>
      <c r="W12" s="393"/>
      <c r="X12" s="393"/>
      <c r="Y12" s="406"/>
      <c r="AI12" s="393"/>
      <c r="AJ12" s="393"/>
      <c r="AV12" s="390"/>
      <c r="BE12" s="406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</row>
    <row r="13" spans="1:94" ht="80.099999999999994" customHeight="1" thickBot="1" x14ac:dyDescent="0.25">
      <c r="B13" s="821" t="s">
        <v>248</v>
      </c>
      <c r="C13" s="820" t="s">
        <v>43</v>
      </c>
      <c r="D13" s="820" t="s">
        <v>44</v>
      </c>
      <c r="E13" s="820" t="s">
        <v>214</v>
      </c>
      <c r="F13" s="820" t="s">
        <v>252</v>
      </c>
      <c r="G13" s="820" t="s">
        <v>397</v>
      </c>
      <c r="H13" s="822" t="s">
        <v>251</v>
      </c>
      <c r="I13" s="820" t="s">
        <v>253</v>
      </c>
      <c r="J13" s="822" t="s">
        <v>250</v>
      </c>
      <c r="K13" s="820" t="s">
        <v>249</v>
      </c>
      <c r="L13" s="820" t="s">
        <v>254</v>
      </c>
      <c r="M13" s="820" t="s">
        <v>255</v>
      </c>
      <c r="N13" s="820" t="s">
        <v>325</v>
      </c>
      <c r="O13" s="397"/>
      <c r="P13" s="397"/>
      <c r="Q13" s="397"/>
      <c r="R13" s="397"/>
      <c r="S13" s="397"/>
      <c r="W13" s="393"/>
      <c r="X13" s="393"/>
      <c r="Y13" s="407"/>
      <c r="AV13" s="390"/>
      <c r="BE13" s="390"/>
    </row>
    <row r="14" spans="1:94" ht="30" customHeight="1" thickBot="1" x14ac:dyDescent="0.25">
      <c r="B14" s="401"/>
      <c r="C14" s="431"/>
      <c r="D14" s="431"/>
      <c r="E14" s="431"/>
      <c r="F14" s="431"/>
      <c r="G14" s="431"/>
      <c r="H14" s="357"/>
      <c r="I14" s="431"/>
      <c r="J14" s="831"/>
      <c r="K14" s="431"/>
      <c r="L14" s="431"/>
      <c r="M14" s="431"/>
      <c r="N14" s="433"/>
      <c r="O14" s="397"/>
      <c r="P14" s="397"/>
      <c r="Q14" s="1122"/>
      <c r="R14" s="1122"/>
      <c r="S14" s="398"/>
      <c r="T14" s="1423"/>
      <c r="U14" s="1423"/>
      <c r="V14" s="1423"/>
      <c r="W14" s="393"/>
      <c r="X14" s="393"/>
      <c r="Y14" s="393"/>
      <c r="AV14" s="390"/>
      <c r="BE14" s="390"/>
    </row>
    <row r="15" spans="1:94" ht="30" customHeight="1" thickBot="1" x14ac:dyDescent="0.25">
      <c r="B15" s="838">
        <v>1</v>
      </c>
      <c r="C15" s="990"/>
      <c r="D15" s="991"/>
      <c r="E15" s="992"/>
      <c r="F15" s="839">
        <v>20</v>
      </c>
      <c r="G15" s="839"/>
      <c r="H15" s="841" t="e">
        <f>VLOOKUP(H14,DATOS!P111:S115,4,FALSE)</f>
        <v>#N/A</v>
      </c>
      <c r="I15" s="841" t="e">
        <f>H15</f>
        <v>#N/A</v>
      </c>
      <c r="J15" s="842" t="e">
        <f>VLOOKUP(J14,DATOS!U111:V114,2,FALSE)</f>
        <v>#N/A</v>
      </c>
      <c r="K15" s="846" t="e">
        <f>AVERAGE(K17:K19)</f>
        <v>#DIV/0!</v>
      </c>
      <c r="L15" s="31">
        <v>5.0000000000000001E-3</v>
      </c>
      <c r="M15" s="71">
        <v>9.9000000000000001E-6</v>
      </c>
      <c r="N15" s="840">
        <f>N8</f>
        <v>0</v>
      </c>
      <c r="O15" s="397"/>
      <c r="P15" s="397"/>
      <c r="Q15" s="397"/>
      <c r="R15" s="397"/>
      <c r="T15" s="405"/>
      <c r="Y15" s="393"/>
      <c r="AV15" s="390"/>
      <c r="BE15" s="390"/>
    </row>
    <row r="16" spans="1:94" ht="30" customHeight="1" thickBot="1" x14ac:dyDescent="0.25">
      <c r="B16" s="414"/>
      <c r="C16" s="415"/>
      <c r="D16" s="415"/>
      <c r="E16" s="415"/>
      <c r="F16" s="415"/>
      <c r="G16" s="415"/>
      <c r="H16" s="415"/>
      <c r="I16" s="415"/>
      <c r="J16" s="824"/>
      <c r="K16" s="826" t="s">
        <v>505</v>
      </c>
      <c r="L16" s="825"/>
      <c r="M16" s="415"/>
      <c r="N16" s="417"/>
      <c r="O16" s="397"/>
      <c r="P16" s="397"/>
      <c r="Q16" s="397"/>
      <c r="R16" s="397"/>
      <c r="T16" s="405"/>
      <c r="Y16" s="393"/>
      <c r="AV16" s="390"/>
      <c r="BE16" s="390"/>
    </row>
    <row r="17" spans="1:58" ht="30" customHeight="1" x14ac:dyDescent="0.2">
      <c r="B17" s="390"/>
      <c r="C17" s="390"/>
      <c r="D17" s="424"/>
      <c r="E17" s="425"/>
      <c r="F17" s="439"/>
      <c r="G17" s="425"/>
      <c r="H17" s="439"/>
      <c r="I17" s="425"/>
      <c r="J17" s="425"/>
      <c r="K17" s="993"/>
      <c r="L17" s="425"/>
      <c r="O17" s="397"/>
      <c r="P17" s="397"/>
      <c r="Q17" s="397"/>
      <c r="R17" s="397"/>
      <c r="T17" s="405"/>
      <c r="AV17" s="390"/>
      <c r="BE17" s="390"/>
    </row>
    <row r="18" spans="1:58" ht="30" customHeight="1" x14ac:dyDescent="0.2">
      <c r="B18" s="390"/>
      <c r="C18" s="390"/>
      <c r="D18" s="424"/>
      <c r="E18" s="425"/>
      <c r="F18" s="439"/>
      <c r="G18" s="425"/>
      <c r="H18" s="439"/>
      <c r="I18" s="425"/>
      <c r="J18" s="425"/>
      <c r="K18" s="994"/>
      <c r="L18" s="425"/>
      <c r="O18" s="397"/>
      <c r="P18" s="397"/>
      <c r="Q18" s="397"/>
      <c r="R18" s="397"/>
      <c r="T18" s="405"/>
      <c r="AV18" s="390"/>
      <c r="BE18" s="390"/>
    </row>
    <row r="19" spans="1:58" ht="30" customHeight="1" thickBot="1" x14ac:dyDescent="0.25">
      <c r="B19" s="390"/>
      <c r="C19" s="390"/>
      <c r="D19" s="424"/>
      <c r="E19" s="425"/>
      <c r="F19" s="439"/>
      <c r="G19" s="425"/>
      <c r="H19" s="439"/>
      <c r="I19" s="425"/>
      <c r="J19" s="425"/>
      <c r="K19" s="995"/>
      <c r="L19" s="425"/>
      <c r="O19" s="397"/>
      <c r="P19" s="397"/>
      <c r="Q19" s="397"/>
      <c r="R19" s="397"/>
      <c r="T19" s="405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</row>
    <row r="20" spans="1:58" ht="30" customHeight="1" thickBot="1" x14ac:dyDescent="0.25">
      <c r="A20" s="451"/>
      <c r="B20" s="452"/>
      <c r="C20" s="453"/>
      <c r="D20" s="59"/>
      <c r="E20" s="59"/>
      <c r="F20" s="454"/>
      <c r="G20" s="455"/>
      <c r="H20" s="455"/>
      <c r="I20" s="455"/>
      <c r="J20" s="455"/>
      <c r="K20" s="823"/>
      <c r="L20" s="455"/>
      <c r="M20" s="455"/>
      <c r="N20" s="455"/>
      <c r="O20" s="397"/>
      <c r="P20" s="397"/>
      <c r="Q20" s="397"/>
      <c r="R20" s="397"/>
      <c r="T20" s="405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</row>
    <row r="21" spans="1:58" ht="30" customHeight="1" thickBot="1" x14ac:dyDescent="0.25">
      <c r="A21" s="460"/>
      <c r="B21" s="1537" t="s">
        <v>326</v>
      </c>
      <c r="C21" s="1538"/>
      <c r="D21" s="1538"/>
      <c r="E21" s="1538"/>
      <c r="F21" s="1538"/>
      <c r="G21" s="1538"/>
      <c r="H21" s="1538"/>
      <c r="I21" s="1538"/>
      <c r="J21" s="1538"/>
      <c r="K21" s="1538"/>
      <c r="L21" s="1538"/>
      <c r="M21" s="1539"/>
      <c r="N21" s="390"/>
      <c r="O21" s="397"/>
      <c r="P21" s="397"/>
      <c r="Q21" s="397"/>
      <c r="R21" s="397"/>
      <c r="T21" s="405"/>
      <c r="AV21" s="390"/>
      <c r="BE21" s="390"/>
    </row>
    <row r="22" spans="1:58" ht="30" customHeight="1" thickBot="1" x14ac:dyDescent="0.25">
      <c r="A22" s="460"/>
      <c r="B22" s="390"/>
      <c r="C22" s="390"/>
      <c r="D22" s="390"/>
      <c r="E22" s="390"/>
      <c r="F22" s="390"/>
      <c r="G22" s="390"/>
      <c r="H22" s="390"/>
      <c r="I22" s="390"/>
      <c r="J22" s="390"/>
      <c r="K22" s="467"/>
      <c r="L22" s="390"/>
      <c r="M22" s="390"/>
      <c r="N22" s="390"/>
      <c r="O22" s="397"/>
      <c r="P22" s="397"/>
      <c r="Q22" s="397"/>
      <c r="R22" s="397"/>
      <c r="T22" s="405"/>
      <c r="AV22" s="390"/>
      <c r="BE22" s="390"/>
    </row>
    <row r="23" spans="1:58" ht="69.95" customHeight="1" thickBot="1" x14ac:dyDescent="0.25">
      <c r="A23" s="460"/>
      <c r="B23" s="469" t="s">
        <v>532</v>
      </c>
      <c r="C23" s="470" t="s">
        <v>43</v>
      </c>
      <c r="D23" s="470" t="s">
        <v>44</v>
      </c>
      <c r="E23" s="470" t="s">
        <v>214</v>
      </c>
      <c r="F23" s="470" t="s">
        <v>84</v>
      </c>
      <c r="G23" s="470" t="s">
        <v>215</v>
      </c>
      <c r="H23" s="470" t="s">
        <v>484</v>
      </c>
      <c r="I23" s="470" t="s">
        <v>485</v>
      </c>
      <c r="J23" s="470" t="s">
        <v>250</v>
      </c>
      <c r="K23" s="471" t="s">
        <v>90</v>
      </c>
      <c r="L23" s="470" t="s">
        <v>91</v>
      </c>
      <c r="M23" s="472" t="s">
        <v>192</v>
      </c>
      <c r="N23" s="390"/>
      <c r="O23" s="397"/>
      <c r="P23" s="397"/>
      <c r="Q23" s="397"/>
      <c r="R23" s="397"/>
      <c r="T23" s="405"/>
      <c r="AV23" s="390"/>
      <c r="BE23" s="390"/>
    </row>
    <row r="24" spans="1:58" ht="30" customHeight="1" thickBot="1" x14ac:dyDescent="0.25">
      <c r="A24" s="460"/>
      <c r="B24" s="746"/>
      <c r="C24" s="745"/>
      <c r="D24" s="479"/>
      <c r="E24" s="479"/>
      <c r="F24" s="479"/>
      <c r="G24" s="479"/>
      <c r="H24" s="479"/>
      <c r="I24" s="479"/>
      <c r="J24" s="479"/>
      <c r="K24" s="480"/>
      <c r="L24" s="479"/>
      <c r="M24" s="481"/>
      <c r="N24" s="406"/>
      <c r="O24" s="397"/>
      <c r="P24" s="397"/>
      <c r="Q24" s="397"/>
      <c r="R24" s="397"/>
      <c r="T24" s="405"/>
      <c r="U24" s="405"/>
      <c r="V24" s="405"/>
      <c r="W24" s="393"/>
      <c r="AD24" s="390"/>
      <c r="AV24" s="390"/>
      <c r="BE24" s="390"/>
      <c r="BF24" s="390"/>
    </row>
    <row r="25" spans="1:58" ht="30" customHeight="1" x14ac:dyDescent="0.2">
      <c r="A25" s="460"/>
      <c r="B25" s="866" t="s">
        <v>227</v>
      </c>
      <c r="C25" s="47" t="s">
        <v>79</v>
      </c>
      <c r="D25" s="47" t="s">
        <v>80</v>
      </c>
      <c r="E25" s="47" t="s">
        <v>360</v>
      </c>
      <c r="F25" s="867">
        <v>15.56</v>
      </c>
      <c r="G25" s="1040">
        <v>4.9998800000000001</v>
      </c>
      <c r="H25" s="868">
        <v>4.0967700000000002</v>
      </c>
      <c r="I25" s="868">
        <f>H25</f>
        <v>4.0967700000000002</v>
      </c>
      <c r="J25" s="47">
        <v>4.7700000000000001E-5</v>
      </c>
      <c r="K25" s="867">
        <f>(5.49+5.5+5.51)/3</f>
        <v>5.5</v>
      </c>
      <c r="L25" s="869">
        <v>5.0000000000000001E-3</v>
      </c>
      <c r="M25" s="870">
        <v>9.9000000000000001E-6</v>
      </c>
      <c r="N25" s="390"/>
      <c r="O25" s="397"/>
      <c r="P25" s="397"/>
      <c r="Q25" s="397"/>
      <c r="R25" s="397"/>
      <c r="T25" s="405"/>
      <c r="U25" s="405"/>
      <c r="V25" s="405"/>
      <c r="W25" s="393"/>
      <c r="X25" s="393"/>
      <c r="Y25" s="425"/>
      <c r="Z25" s="425"/>
      <c r="AA25" s="425"/>
      <c r="AB25" s="425"/>
      <c r="AC25" s="425"/>
      <c r="AD25" s="390"/>
      <c r="AV25" s="390"/>
      <c r="BE25" s="390"/>
      <c r="BF25" s="390"/>
    </row>
    <row r="26" spans="1:58" ht="30" customHeight="1" thickBot="1" x14ac:dyDescent="0.25">
      <c r="A26" s="460"/>
      <c r="B26" s="871" t="s">
        <v>228</v>
      </c>
      <c r="C26" s="43" t="s">
        <v>79</v>
      </c>
      <c r="D26" s="872" t="s">
        <v>24</v>
      </c>
      <c r="E26" s="43" t="s">
        <v>359</v>
      </c>
      <c r="F26" s="61">
        <v>20</v>
      </c>
      <c r="G26" s="873">
        <v>5.0015799999999997</v>
      </c>
      <c r="H26" s="874">
        <v>8.1935000000000002</v>
      </c>
      <c r="I26" s="43">
        <f>H26</f>
        <v>8.1935000000000002</v>
      </c>
      <c r="J26" s="43">
        <v>4.7700000000000001E-5</v>
      </c>
      <c r="K26" s="873">
        <f>(7.29+7.26+7.25)/3</f>
        <v>7.2666666666666666</v>
      </c>
      <c r="L26" s="875">
        <v>5.0000000000000001E-3</v>
      </c>
      <c r="M26" s="876">
        <f>M25</f>
        <v>9.9000000000000001E-6</v>
      </c>
      <c r="N26" s="406"/>
      <c r="O26" s="397"/>
      <c r="P26" s="397"/>
      <c r="Q26" s="397"/>
      <c r="R26" s="397"/>
      <c r="T26" s="405"/>
      <c r="U26" s="405"/>
      <c r="X26" s="393"/>
      <c r="Y26" s="425"/>
      <c r="Z26" s="425"/>
      <c r="AA26" s="425"/>
      <c r="AB26" s="425"/>
      <c r="AC26" s="425"/>
      <c r="AD26" s="390"/>
      <c r="AV26" s="390"/>
      <c r="BE26" s="390"/>
      <c r="BF26" s="390"/>
    </row>
    <row r="27" spans="1:58" ht="30" customHeight="1" thickBot="1" x14ac:dyDescent="0.25">
      <c r="A27" s="460"/>
      <c r="B27" s="390"/>
      <c r="C27" s="499"/>
      <c r="D27" s="499"/>
      <c r="E27" s="499"/>
      <c r="F27" s="499"/>
      <c r="G27" s="499"/>
      <c r="H27" s="499"/>
      <c r="I27" s="499"/>
      <c r="J27" s="499"/>
      <c r="K27" s="500"/>
      <c r="L27" s="499"/>
      <c r="M27" s="499"/>
      <c r="N27" s="406"/>
      <c r="O27" s="397"/>
      <c r="P27" s="397"/>
      <c r="Q27" s="397"/>
      <c r="R27" s="397"/>
      <c r="T27" s="405"/>
      <c r="X27" s="393"/>
      <c r="AB27" s="425"/>
      <c r="AC27" s="425"/>
      <c r="AD27" s="390"/>
      <c r="AV27" s="390"/>
      <c r="BE27" s="390"/>
      <c r="BF27" s="390"/>
    </row>
    <row r="28" spans="1:58" ht="30" customHeight="1" thickBot="1" x14ac:dyDescent="0.25">
      <c r="A28" s="460"/>
      <c r="B28" s="1508" t="s">
        <v>486</v>
      </c>
      <c r="C28" s="1509"/>
      <c r="D28" s="1509"/>
      <c r="E28" s="1509"/>
      <c r="F28" s="1509"/>
      <c r="G28" s="1509"/>
      <c r="H28" s="1509"/>
      <c r="I28" s="1509"/>
      <c r="J28" s="1509"/>
      <c r="K28" s="1509"/>
      <c r="L28" s="1510"/>
      <c r="M28" s="499"/>
      <c r="N28" s="406"/>
      <c r="O28" s="1450" t="s">
        <v>496</v>
      </c>
      <c r="P28" s="1451"/>
      <c r="Q28" s="397"/>
      <c r="R28" s="397"/>
      <c r="T28" s="405"/>
      <c r="X28" s="393"/>
      <c r="AB28" s="425"/>
      <c r="AC28" s="425"/>
      <c r="AD28" s="390"/>
      <c r="AV28" s="390"/>
    </row>
    <row r="29" spans="1:58" ht="60" customHeight="1" thickBot="1" x14ac:dyDescent="0.25">
      <c r="A29" s="460"/>
      <c r="B29" s="1553" t="s">
        <v>533</v>
      </c>
      <c r="C29" s="623" t="s">
        <v>532</v>
      </c>
      <c r="D29" s="502" t="s">
        <v>43</v>
      </c>
      <c r="E29" s="502" t="s">
        <v>284</v>
      </c>
      <c r="F29" s="503" t="s">
        <v>283</v>
      </c>
      <c r="G29" s="503" t="s">
        <v>187</v>
      </c>
      <c r="H29" s="503" t="s">
        <v>246</v>
      </c>
      <c r="I29" s="503" t="s">
        <v>185</v>
      </c>
      <c r="J29" s="503" t="s">
        <v>247</v>
      </c>
      <c r="K29" s="504" t="s">
        <v>186</v>
      </c>
      <c r="L29" s="505" t="s">
        <v>300</v>
      </c>
      <c r="M29" s="835"/>
      <c r="N29" s="406"/>
      <c r="O29" s="952" t="s">
        <v>497</v>
      </c>
      <c r="P29" s="953" t="s">
        <v>494</v>
      </c>
      <c r="Q29" s="397"/>
      <c r="R29" s="397"/>
      <c r="T29" s="405"/>
      <c r="X29" s="393"/>
      <c r="AB29" s="425"/>
      <c r="AC29" s="425"/>
      <c r="AD29" s="390"/>
      <c r="AV29" s="390"/>
    </row>
    <row r="30" spans="1:58" ht="30" customHeight="1" thickBot="1" x14ac:dyDescent="0.25">
      <c r="A30" s="460"/>
      <c r="B30" s="1554"/>
      <c r="C30" s="749"/>
      <c r="D30" s="452"/>
      <c r="E30" s="526"/>
      <c r="F30" s="526"/>
      <c r="G30" s="526"/>
      <c r="H30" s="526"/>
      <c r="I30" s="526"/>
      <c r="J30" s="526"/>
      <c r="K30" s="480"/>
      <c r="L30" s="481"/>
      <c r="M30" s="499"/>
      <c r="N30" s="406"/>
      <c r="O30" s="951" t="s">
        <v>495</v>
      </c>
      <c r="P30" s="930">
        <v>2.7</v>
      </c>
      <c r="Q30" s="397"/>
      <c r="R30" s="397"/>
      <c r="X30" s="393"/>
      <c r="AV30" s="390"/>
    </row>
    <row r="31" spans="1:58" ht="30" customHeight="1" x14ac:dyDescent="0.2">
      <c r="A31" s="460"/>
      <c r="B31" s="1555"/>
      <c r="C31" s="856" t="str">
        <f>B25</f>
        <v>V-005</v>
      </c>
      <c r="D31" s="47" t="str">
        <f>C25</f>
        <v>Serhapin test Measure</v>
      </c>
      <c r="E31" s="47" t="str">
        <f>E25</f>
        <v xml:space="preserve">16-5935702             </v>
      </c>
      <c r="F31" s="847">
        <v>18926.59</v>
      </c>
      <c r="G31" s="848">
        <f>H25</f>
        <v>4.0967700000000002</v>
      </c>
      <c r="H31" s="847">
        <f>'RT03-F33'!M30-DATOS!F31</f>
        <v>0.46500000000014552</v>
      </c>
      <c r="I31" s="849">
        <v>3</v>
      </c>
      <c r="J31" s="847">
        <v>2.04</v>
      </c>
      <c r="K31" s="850">
        <v>43406</v>
      </c>
      <c r="L31" s="851" t="s">
        <v>470</v>
      </c>
      <c r="M31" s="499"/>
      <c r="N31" s="406"/>
      <c r="O31" s="931"/>
      <c r="P31" s="932"/>
      <c r="Q31" s="397"/>
      <c r="R31" s="397"/>
      <c r="AV31" s="390"/>
      <c r="BF31" s="518"/>
    </row>
    <row r="32" spans="1:58" ht="30" customHeight="1" thickBot="1" x14ac:dyDescent="0.25">
      <c r="A32" s="460"/>
      <c r="B32" s="1555"/>
      <c r="C32" s="857" t="str">
        <f>B26</f>
        <v>V-001</v>
      </c>
      <c r="D32" s="43" t="str">
        <f>C26</f>
        <v>Serhapin test Measure</v>
      </c>
      <c r="E32" s="43" t="str">
        <f>E26</f>
        <v>14-92812</v>
      </c>
      <c r="F32" s="852">
        <v>18933.04</v>
      </c>
      <c r="G32" s="852">
        <f>H26</f>
        <v>8.1935000000000002</v>
      </c>
      <c r="H32" s="960">
        <f>'RT03-F33'!M31-DATOS!F32</f>
        <v>-5.9850000000005821</v>
      </c>
      <c r="I32" s="853">
        <v>5</v>
      </c>
      <c r="J32" s="852">
        <v>2.0299999999999998</v>
      </c>
      <c r="K32" s="854">
        <v>43410</v>
      </c>
      <c r="L32" s="855" t="s">
        <v>481</v>
      </c>
      <c r="N32" s="406"/>
      <c r="O32" s="931"/>
      <c r="P32" s="932"/>
      <c r="Q32" s="397"/>
      <c r="R32" s="397"/>
      <c r="U32" s="405"/>
      <c r="AV32" s="390"/>
    </row>
    <row r="33" spans="1:58" ht="30" customHeight="1" x14ac:dyDescent="0.2">
      <c r="A33" s="460"/>
      <c r="B33" s="525"/>
      <c r="C33" s="528"/>
      <c r="D33" s="390"/>
      <c r="E33" s="528"/>
      <c r="F33" s="528"/>
      <c r="G33" s="528"/>
      <c r="H33" s="827"/>
      <c r="I33" s="528"/>
      <c r="J33" s="528"/>
      <c r="K33" s="527"/>
      <c r="L33" s="405"/>
      <c r="M33" s="499"/>
      <c r="N33" s="406"/>
      <c r="O33" s="931"/>
      <c r="P33" s="932"/>
      <c r="Q33" s="397"/>
      <c r="R33" s="397"/>
      <c r="U33" s="405"/>
      <c r="AV33" s="390"/>
      <c r="BF33" s="407"/>
    </row>
    <row r="34" spans="1:58" ht="30" customHeight="1" thickBot="1" x14ac:dyDescent="0.25">
      <c r="A34" s="460"/>
      <c r="B34" s="390"/>
      <c r="C34" s="405"/>
      <c r="D34" s="405"/>
      <c r="E34" s="405"/>
      <c r="F34" s="405"/>
      <c r="G34" s="405"/>
      <c r="H34" s="405"/>
      <c r="I34" s="405"/>
      <c r="J34" s="405"/>
      <c r="K34" s="527"/>
      <c r="L34" s="405"/>
      <c r="M34" s="499"/>
      <c r="N34" s="406"/>
      <c r="O34" s="931"/>
      <c r="P34" s="932"/>
      <c r="Q34" s="397"/>
      <c r="R34" s="397"/>
      <c r="U34" s="405"/>
      <c r="AV34" s="390"/>
      <c r="BF34" s="407"/>
    </row>
    <row r="35" spans="1:58" ht="30" customHeight="1" thickBot="1" x14ac:dyDescent="0.25">
      <c r="A35" s="460"/>
      <c r="B35" s="1508" t="s">
        <v>210</v>
      </c>
      <c r="C35" s="1509"/>
      <c r="D35" s="1509"/>
      <c r="E35" s="1509"/>
      <c r="F35" s="1509"/>
      <c r="G35" s="1509"/>
      <c r="H35" s="1509"/>
      <c r="I35" s="1509"/>
      <c r="J35" s="1509"/>
      <c r="K35" s="1509"/>
      <c r="L35" s="1510"/>
      <c r="M35" s="499"/>
      <c r="N35" s="406"/>
      <c r="O35" s="933"/>
      <c r="P35" s="934"/>
      <c r="Q35" s="397"/>
      <c r="R35" s="397"/>
      <c r="AV35" s="390"/>
      <c r="BF35" s="407"/>
    </row>
    <row r="36" spans="1:58" ht="60" customHeight="1" thickBot="1" x14ac:dyDescent="0.25">
      <c r="A36" s="460"/>
      <c r="B36" s="390"/>
      <c r="C36" s="528"/>
      <c r="D36" s="502" t="s">
        <v>43</v>
      </c>
      <c r="E36" s="502" t="s">
        <v>284</v>
      </c>
      <c r="F36" s="503" t="s">
        <v>283</v>
      </c>
      <c r="G36" s="503" t="s">
        <v>187</v>
      </c>
      <c r="H36" s="503" t="s">
        <v>246</v>
      </c>
      <c r="I36" s="503" t="s">
        <v>185</v>
      </c>
      <c r="J36" s="503" t="s">
        <v>247</v>
      </c>
      <c r="K36" s="529" t="s">
        <v>186</v>
      </c>
      <c r="L36" s="505" t="s">
        <v>300</v>
      </c>
      <c r="M36" s="788" t="s">
        <v>464</v>
      </c>
      <c r="N36" s="788" t="s">
        <v>465</v>
      </c>
      <c r="AV36" s="390"/>
      <c r="BF36" s="407"/>
    </row>
    <row r="37" spans="1:58" ht="30" customHeight="1" thickBot="1" x14ac:dyDescent="0.25">
      <c r="A37" s="460"/>
      <c r="B37" s="743"/>
      <c r="C37" s="390"/>
      <c r="D37" s="532"/>
      <c r="E37" s="526"/>
      <c r="F37" s="526"/>
      <c r="G37" s="526"/>
      <c r="H37" s="526"/>
      <c r="I37" s="526"/>
      <c r="J37" s="526"/>
      <c r="K37" s="607"/>
      <c r="L37" s="479"/>
      <c r="M37" s="744"/>
      <c r="N37" s="482"/>
      <c r="AV37" s="390"/>
      <c r="BF37" s="407"/>
    </row>
    <row r="38" spans="1:58" ht="30" customHeight="1" thickBot="1" x14ac:dyDescent="0.25">
      <c r="A38" s="460"/>
      <c r="B38" s="1582" t="s">
        <v>534</v>
      </c>
      <c r="C38" s="877" t="s">
        <v>329</v>
      </c>
      <c r="D38" s="1585" t="s">
        <v>297</v>
      </c>
      <c r="E38" s="879" t="s">
        <v>230</v>
      </c>
      <c r="F38" s="880">
        <v>14.064</v>
      </c>
      <c r="G38" s="868">
        <v>1E-3</v>
      </c>
      <c r="H38" s="868">
        <v>-5.0999999999999997E-2</v>
      </c>
      <c r="I38" s="868">
        <v>4.3999999999999997E-2</v>
      </c>
      <c r="J38" s="881">
        <v>2</v>
      </c>
      <c r="K38" s="1028">
        <v>43574</v>
      </c>
      <c r="L38" s="1620" t="s">
        <v>500</v>
      </c>
      <c r="M38" s="890">
        <f>SLOPE($H$38:$H$42,$F$38:$F$42)</f>
        <v>-1.8688926308402325E-3</v>
      </c>
      <c r="N38" s="896">
        <f>INTERCEPT($H$38:$H$42,$F$38:$F$42)</f>
        <v>-2.4958668866796839E-2</v>
      </c>
      <c r="AV38" s="390"/>
      <c r="BF38" s="407"/>
    </row>
    <row r="39" spans="1:58" ht="30" customHeight="1" thickBot="1" x14ac:dyDescent="0.25">
      <c r="A39" s="460"/>
      <c r="B39" s="1583"/>
      <c r="C39" s="877" t="s">
        <v>330</v>
      </c>
      <c r="D39" s="1586"/>
      <c r="E39" s="883" t="s">
        <v>230</v>
      </c>
      <c r="F39" s="884">
        <v>16.068000000000001</v>
      </c>
      <c r="G39" s="836">
        <v>1E-3</v>
      </c>
      <c r="H39" s="836">
        <v>-5.5E-2</v>
      </c>
      <c r="I39" s="836">
        <v>4.3999999999999997E-2</v>
      </c>
      <c r="J39" s="885">
        <v>2</v>
      </c>
      <c r="K39" s="1029">
        <v>43574</v>
      </c>
      <c r="L39" s="1621"/>
      <c r="M39" s="892">
        <f>SLOPE($H$38:$H$42,$F$38:$F$42)</f>
        <v>-1.8688926308402325E-3</v>
      </c>
      <c r="N39" s="897">
        <f>INTERCEPT($H$38:$H$42,$F$38:$F$42)</f>
        <v>-2.4958668866796839E-2</v>
      </c>
      <c r="AV39" s="390"/>
      <c r="BF39" s="407"/>
    </row>
    <row r="40" spans="1:58" ht="30" customHeight="1" thickBot="1" x14ac:dyDescent="0.25">
      <c r="A40" s="984" t="s">
        <v>476</v>
      </c>
      <c r="B40" s="1583"/>
      <c r="C40" s="878" t="s">
        <v>331</v>
      </c>
      <c r="D40" s="1586"/>
      <c r="E40" s="883" t="s">
        <v>230</v>
      </c>
      <c r="F40" s="884">
        <v>17.065000000000001</v>
      </c>
      <c r="G40" s="836">
        <v>1E-3</v>
      </c>
      <c r="H40" s="836">
        <v>-5.7000000000000002E-2</v>
      </c>
      <c r="I40" s="836">
        <v>4.3999999999999997E-2</v>
      </c>
      <c r="J40" s="885">
        <v>2</v>
      </c>
      <c r="K40" s="1029">
        <v>43574</v>
      </c>
      <c r="L40" s="1621"/>
      <c r="M40" s="892">
        <f>SLOPE($H$38:$H$42,$F$38:$F$42)</f>
        <v>-1.8688926308402325E-3</v>
      </c>
      <c r="N40" s="897">
        <f>INTERCEPT($H$38:$H$42,$F$38:$F$42)</f>
        <v>-2.4958668866796839E-2</v>
      </c>
      <c r="AV40" s="390"/>
    </row>
    <row r="41" spans="1:58" ht="30" customHeight="1" thickBot="1" x14ac:dyDescent="0.25">
      <c r="A41" s="460"/>
      <c r="B41" s="1583"/>
      <c r="C41" s="878" t="s">
        <v>471</v>
      </c>
      <c r="D41" s="1586"/>
      <c r="E41" s="883" t="s">
        <v>230</v>
      </c>
      <c r="F41" s="836">
        <v>18.064</v>
      </c>
      <c r="G41" s="836">
        <v>1E-3</v>
      </c>
      <c r="H41" s="836">
        <v>-5.8999999999999997E-2</v>
      </c>
      <c r="I41" s="836">
        <v>4.3999999999999997E-2</v>
      </c>
      <c r="J41" s="885">
        <v>2</v>
      </c>
      <c r="K41" s="1029">
        <v>43574</v>
      </c>
      <c r="L41" s="1621"/>
      <c r="M41" s="892">
        <f>SLOPE($H$38:$H$42,$F$38:$F$42)</f>
        <v>-1.8688926308402325E-3</v>
      </c>
      <c r="N41" s="897">
        <f>INTERCEPT($H$38:$H$42,$F$38:$F$42)</f>
        <v>-2.4958668866796839E-2</v>
      </c>
      <c r="AB41" s="425"/>
      <c r="AC41" s="425"/>
      <c r="AD41" s="390"/>
      <c r="AV41" s="390"/>
    </row>
    <row r="42" spans="1:58" ht="30" customHeight="1" thickBot="1" x14ac:dyDescent="0.25">
      <c r="A42" s="460"/>
      <c r="B42" s="1584"/>
      <c r="C42" s="878" t="s">
        <v>472</v>
      </c>
      <c r="D42" s="1587"/>
      <c r="E42" s="887" t="s">
        <v>230</v>
      </c>
      <c r="F42" s="888">
        <v>22.067</v>
      </c>
      <c r="G42" s="888">
        <v>1E-3</v>
      </c>
      <c r="H42" s="888">
        <v>-6.6000000000000003E-2</v>
      </c>
      <c r="I42" s="888">
        <v>4.3999999999999997E-2</v>
      </c>
      <c r="J42" s="917">
        <v>2</v>
      </c>
      <c r="K42" s="1030">
        <v>43574</v>
      </c>
      <c r="L42" s="1622"/>
      <c r="M42" s="894">
        <f>SLOPE($H$38:$H$42,$F$38:$F$42)</f>
        <v>-1.8688926308402325E-3</v>
      </c>
      <c r="N42" s="898">
        <f>INTERCEPT($H$38:$H$42,$F$38:$F$42)</f>
        <v>-2.4958668866796839E-2</v>
      </c>
      <c r="AB42" s="425"/>
      <c r="AC42" s="425"/>
      <c r="AD42" s="390"/>
      <c r="AV42" s="390"/>
    </row>
    <row r="43" spans="1:58" ht="30" customHeight="1" thickBot="1" x14ac:dyDescent="0.25">
      <c r="A43" s="460"/>
      <c r="B43" s="460"/>
      <c r="C43" s="532"/>
      <c r="D43" s="743"/>
      <c r="E43" s="750"/>
      <c r="F43" s="751"/>
      <c r="G43" s="528"/>
      <c r="H43" s="528"/>
      <c r="I43" s="528"/>
      <c r="J43" s="528"/>
      <c r="K43" s="621"/>
      <c r="L43" s="1122"/>
      <c r="M43" s="1122"/>
      <c r="N43" s="752"/>
      <c r="W43" s="393"/>
      <c r="AB43" s="425"/>
      <c r="AC43" s="425"/>
      <c r="AD43" s="390"/>
      <c r="AV43" s="390"/>
    </row>
    <row r="44" spans="1:58" ht="30" customHeight="1" thickBot="1" x14ac:dyDescent="0.25">
      <c r="A44" s="460"/>
      <c r="B44" s="1582" t="s">
        <v>535</v>
      </c>
      <c r="C44" s="877" t="s">
        <v>332</v>
      </c>
      <c r="D44" s="1585" t="s">
        <v>297</v>
      </c>
      <c r="E44" s="879" t="s">
        <v>231</v>
      </c>
      <c r="F44" s="880">
        <v>14.028</v>
      </c>
      <c r="G44" s="868">
        <v>1E-3</v>
      </c>
      <c r="H44" s="868">
        <v>-1.4999999999999999E-2</v>
      </c>
      <c r="I44" s="868">
        <v>4.3999999999999997E-2</v>
      </c>
      <c r="J44" s="881">
        <v>2</v>
      </c>
      <c r="K44" s="1028">
        <v>43564</v>
      </c>
      <c r="L44" s="1623" t="s">
        <v>501</v>
      </c>
      <c r="M44" s="890">
        <f>SLOPE($H$44:$H$48,$F$44:$F$48)</f>
        <v>-1.494487043762891E-3</v>
      </c>
      <c r="N44" s="891">
        <f>INTERCEPT($H$44:$H$48,$F$44:$F$48)</f>
        <v>5.8459201986996584E-3</v>
      </c>
      <c r="O44" s="889"/>
      <c r="W44" s="393"/>
      <c r="AB44" s="425"/>
      <c r="AC44" s="425"/>
      <c r="AD44" s="390"/>
      <c r="AV44" s="390"/>
    </row>
    <row r="45" spans="1:58" ht="30" customHeight="1" thickBot="1" x14ac:dyDescent="0.25">
      <c r="A45" s="460"/>
      <c r="B45" s="1583"/>
      <c r="C45" s="877" t="s">
        <v>333</v>
      </c>
      <c r="D45" s="1586"/>
      <c r="E45" s="883" t="s">
        <v>231</v>
      </c>
      <c r="F45" s="884">
        <v>16.03</v>
      </c>
      <c r="G45" s="836">
        <v>1E-3</v>
      </c>
      <c r="H45" s="836">
        <v>-1.7999999999999999E-2</v>
      </c>
      <c r="I45" s="836">
        <v>4.3999999999999997E-2</v>
      </c>
      <c r="J45" s="885">
        <v>2</v>
      </c>
      <c r="K45" s="1029">
        <v>43564</v>
      </c>
      <c r="L45" s="1624"/>
      <c r="M45" s="892">
        <f>SLOPE($H$44:$H$48,$F$44:$F$48)</f>
        <v>-1.494487043762891E-3</v>
      </c>
      <c r="N45" s="893">
        <f>INTERCEPT($H$44:$H$48,$F$44:$F$48)</f>
        <v>5.8459201986996584E-3</v>
      </c>
      <c r="O45" s="889"/>
      <c r="W45" s="393"/>
      <c r="AB45" s="425"/>
      <c r="AC45" s="425"/>
      <c r="AD45" s="390"/>
      <c r="AV45" s="390"/>
    </row>
    <row r="46" spans="1:58" ht="30" customHeight="1" thickBot="1" x14ac:dyDescent="0.25">
      <c r="A46" s="984" t="s">
        <v>475</v>
      </c>
      <c r="B46" s="1583"/>
      <c r="C46" s="878" t="s">
        <v>334</v>
      </c>
      <c r="D46" s="1586"/>
      <c r="E46" s="883" t="s">
        <v>231</v>
      </c>
      <c r="F46" s="884">
        <v>17.027999999999999</v>
      </c>
      <c r="G46" s="836">
        <v>1E-3</v>
      </c>
      <c r="H46" s="884">
        <v>-0.02</v>
      </c>
      <c r="I46" s="836">
        <v>4.3999999999999997E-2</v>
      </c>
      <c r="J46" s="885">
        <v>2</v>
      </c>
      <c r="K46" s="1029">
        <v>43564</v>
      </c>
      <c r="L46" s="1624"/>
      <c r="M46" s="892">
        <f>SLOPE($H$44:$H$48,$F$44:$F$48)</f>
        <v>-1.494487043762891E-3</v>
      </c>
      <c r="N46" s="893">
        <f>INTERCEPT($H$44:$H$48,$F$44:$F$48)</f>
        <v>5.8459201986996584E-3</v>
      </c>
      <c r="O46" s="889"/>
      <c r="W46" s="393"/>
      <c r="AB46" s="425"/>
      <c r="AC46" s="425"/>
      <c r="AD46" s="390"/>
      <c r="AV46" s="390"/>
    </row>
    <row r="47" spans="1:58" ht="30" customHeight="1" thickBot="1" x14ac:dyDescent="0.25">
      <c r="A47" s="460"/>
      <c r="B47" s="1583"/>
      <c r="C47" s="878" t="s">
        <v>473</v>
      </c>
      <c r="D47" s="1586"/>
      <c r="E47" s="883" t="s">
        <v>232</v>
      </c>
      <c r="F47" s="836">
        <v>18.026</v>
      </c>
      <c r="G47" s="836">
        <v>1E-3</v>
      </c>
      <c r="H47" s="836">
        <v>-2.1000000000000001E-2</v>
      </c>
      <c r="I47" s="836">
        <v>4.3999999999999997E-2</v>
      </c>
      <c r="J47" s="885">
        <v>2</v>
      </c>
      <c r="K47" s="1029">
        <v>43564</v>
      </c>
      <c r="L47" s="1624"/>
      <c r="M47" s="892">
        <f>SLOPE($H$44:$H$48,$F$44:$F$48)</f>
        <v>-1.494487043762891E-3</v>
      </c>
      <c r="N47" s="893">
        <f>INTERCEPT($H$44:$H$48,$F$44:$F$48)</f>
        <v>5.8459201986996584E-3</v>
      </c>
      <c r="O47" s="889"/>
      <c r="Q47" s="424"/>
      <c r="R47" s="425"/>
      <c r="W47" s="393"/>
      <c r="AB47" s="425"/>
      <c r="AC47" s="425"/>
      <c r="AD47" s="390"/>
      <c r="AV47" s="390"/>
    </row>
    <row r="48" spans="1:58" ht="30" customHeight="1" thickBot="1" x14ac:dyDescent="0.25">
      <c r="A48" s="460"/>
      <c r="B48" s="1584"/>
      <c r="C48" s="878" t="s">
        <v>474</v>
      </c>
      <c r="D48" s="1587"/>
      <c r="E48" s="887" t="s">
        <v>231</v>
      </c>
      <c r="F48" s="888">
        <v>22.027999999999999</v>
      </c>
      <c r="G48" s="888">
        <v>1E-3</v>
      </c>
      <c r="H48" s="888">
        <v>-2.7E-2</v>
      </c>
      <c r="I48" s="888">
        <v>4.3999999999999997E-2</v>
      </c>
      <c r="J48" s="917">
        <v>2</v>
      </c>
      <c r="K48" s="1030">
        <v>43564</v>
      </c>
      <c r="L48" s="1625"/>
      <c r="M48" s="894">
        <f>SLOPE($H$44:$H$48,$F$44:$F$48)</f>
        <v>-1.494487043762891E-3</v>
      </c>
      <c r="N48" s="895">
        <f>INTERCEPT($H$44:$H$48,$F$44:$F$48)</f>
        <v>5.8459201986996584E-3</v>
      </c>
      <c r="O48" s="889"/>
      <c r="Q48" s="424"/>
      <c r="R48" s="425"/>
      <c r="S48" s="425"/>
      <c r="T48" s="425"/>
      <c r="U48" s="425"/>
      <c r="V48" s="425"/>
      <c r="W48" s="425"/>
      <c r="AB48" s="425"/>
      <c r="AC48" s="425"/>
      <c r="AD48" s="390"/>
      <c r="AV48" s="390"/>
    </row>
    <row r="49" spans="1:58" ht="30" customHeight="1" thickBot="1" x14ac:dyDescent="0.25">
      <c r="A49" s="460"/>
      <c r="B49" s="390"/>
      <c r="C49" s="405"/>
      <c r="D49" s="405"/>
      <c r="E49" s="405"/>
      <c r="F49" s="405"/>
      <c r="G49" s="405"/>
      <c r="H49" s="405"/>
      <c r="I49" s="405"/>
      <c r="J49" s="405"/>
      <c r="K49" s="527"/>
      <c r="L49" s="405"/>
      <c r="M49" s="499"/>
      <c r="N49" s="482"/>
      <c r="Q49" s="424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390"/>
      <c r="AV49" s="390"/>
    </row>
    <row r="50" spans="1:58" ht="30" customHeight="1" x14ac:dyDescent="0.2">
      <c r="A50" s="460"/>
      <c r="B50" s="390"/>
      <c r="C50" s="1547" t="s">
        <v>420</v>
      </c>
      <c r="D50" s="1548"/>
      <c r="E50" s="1548"/>
      <c r="F50" s="1548"/>
      <c r="G50" s="1548"/>
      <c r="H50" s="1548"/>
      <c r="I50" s="1548"/>
      <c r="J50" s="1548"/>
      <c r="K50" s="1548"/>
      <c r="L50" s="1548"/>
      <c r="M50" s="1548"/>
      <c r="N50" s="1548"/>
      <c r="O50" s="1548"/>
      <c r="P50" s="1548"/>
      <c r="Q50" s="1548"/>
      <c r="R50" s="1548"/>
      <c r="S50" s="1548"/>
      <c r="T50" s="1549"/>
      <c r="U50" s="425"/>
      <c r="V50" s="425"/>
      <c r="W50" s="425"/>
      <c r="X50" s="425"/>
      <c r="Y50" s="425"/>
      <c r="Z50" s="425"/>
      <c r="AA50" s="425"/>
      <c r="AB50" s="425"/>
      <c r="AC50" s="425"/>
      <c r="AD50" s="390"/>
      <c r="AV50" s="390"/>
    </row>
    <row r="51" spans="1:58" ht="30" customHeight="1" thickBot="1" x14ac:dyDescent="0.25">
      <c r="A51" s="460"/>
      <c r="B51" s="390"/>
      <c r="C51" s="1550"/>
      <c r="D51" s="1551"/>
      <c r="E51" s="1551"/>
      <c r="F51" s="1551"/>
      <c r="G51" s="1551"/>
      <c r="H51" s="1551"/>
      <c r="I51" s="1551"/>
      <c r="J51" s="1551"/>
      <c r="K51" s="1551"/>
      <c r="L51" s="1551"/>
      <c r="M51" s="1551"/>
      <c r="N51" s="1551"/>
      <c r="O51" s="1551"/>
      <c r="P51" s="1551"/>
      <c r="Q51" s="1551"/>
      <c r="R51" s="1551"/>
      <c r="S51" s="1551"/>
      <c r="T51" s="1552"/>
      <c r="U51" s="425"/>
      <c r="V51" s="425"/>
      <c r="W51" s="425"/>
      <c r="X51" s="425"/>
      <c r="Y51" s="425"/>
      <c r="Z51" s="425"/>
      <c r="AA51" s="425"/>
      <c r="AB51" s="425"/>
      <c r="AC51" s="425"/>
      <c r="AD51" s="390"/>
      <c r="AV51" s="390"/>
    </row>
    <row r="52" spans="1:58" ht="30" customHeight="1" thickBot="1" x14ac:dyDescent="0.25">
      <c r="A52" s="460"/>
      <c r="B52" s="390"/>
      <c r="C52" s="1537" t="s">
        <v>460</v>
      </c>
      <c r="D52" s="1538"/>
      <c r="E52" s="1538"/>
      <c r="F52" s="1538"/>
      <c r="G52" s="1538"/>
      <c r="H52" s="1538"/>
      <c r="I52" s="1538"/>
      <c r="J52" s="1538"/>
      <c r="K52" s="1538"/>
      <c r="L52" s="1538"/>
      <c r="M52" s="1538"/>
      <c r="N52" s="1538"/>
      <c r="O52" s="1538"/>
      <c r="P52" s="1538"/>
      <c r="Q52" s="1538"/>
      <c r="R52" s="1538"/>
      <c r="S52" s="1538"/>
      <c r="T52" s="1539"/>
      <c r="U52" s="425"/>
      <c r="V52" s="425"/>
      <c r="W52" s="425"/>
      <c r="X52" s="425"/>
      <c r="Y52" s="425"/>
      <c r="Z52" s="425"/>
      <c r="AA52" s="425"/>
      <c r="AB52" s="425"/>
      <c r="AC52" s="425"/>
      <c r="AD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</row>
    <row r="53" spans="1:58" ht="30" customHeight="1" thickBot="1" x14ac:dyDescent="0.25">
      <c r="A53" s="460"/>
      <c r="B53" s="390"/>
      <c r="C53" s="528"/>
      <c r="D53" s="559" t="s">
        <v>43</v>
      </c>
      <c r="E53" s="560" t="s">
        <v>284</v>
      </c>
      <c r="F53" s="559" t="s">
        <v>283</v>
      </c>
      <c r="G53" s="559" t="s">
        <v>187</v>
      </c>
      <c r="H53" s="559" t="s">
        <v>246</v>
      </c>
      <c r="I53" s="559" t="s">
        <v>185</v>
      </c>
      <c r="J53" s="559" t="s">
        <v>247</v>
      </c>
      <c r="K53" s="561" t="s">
        <v>186</v>
      </c>
      <c r="L53" s="650" t="s">
        <v>300</v>
      </c>
      <c r="M53" s="499"/>
      <c r="N53" s="482"/>
      <c r="O53" s="1627" t="s">
        <v>424</v>
      </c>
      <c r="P53" s="1628" t="s">
        <v>185</v>
      </c>
      <c r="Q53" s="1629"/>
      <c r="R53" s="1630"/>
      <c r="S53" s="1631" t="s">
        <v>186</v>
      </c>
      <c r="T53" s="1633" t="s">
        <v>300</v>
      </c>
      <c r="U53" s="425"/>
      <c r="V53" s="425"/>
      <c r="W53" s="425"/>
      <c r="X53" s="425"/>
      <c r="Y53" s="425"/>
      <c r="Z53" s="425"/>
      <c r="AA53" s="425"/>
      <c r="AB53" s="425"/>
      <c r="AC53" s="425"/>
      <c r="AD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</row>
    <row r="54" spans="1:58" ht="30" customHeight="1" thickBot="1" x14ac:dyDescent="0.25">
      <c r="A54" s="684"/>
      <c r="B54" s="685"/>
      <c r="C54" s="685"/>
      <c r="D54" s="685"/>
      <c r="E54" s="686"/>
      <c r="F54" s="686"/>
      <c r="G54" s="686"/>
      <c r="H54" s="686"/>
      <c r="I54" s="686"/>
      <c r="J54" s="686"/>
      <c r="K54" s="687"/>
      <c r="L54" s="688"/>
      <c r="M54" s="499"/>
      <c r="N54" s="482"/>
      <c r="O54" s="1627"/>
      <c r="P54" s="1628"/>
      <c r="Q54" s="1629"/>
      <c r="R54" s="1630"/>
      <c r="S54" s="1632"/>
      <c r="T54" s="1634"/>
      <c r="U54" s="425"/>
      <c r="V54" s="425"/>
      <c r="W54" s="425"/>
      <c r="X54" s="425"/>
      <c r="Y54" s="425"/>
      <c r="Z54" s="425"/>
      <c r="AA54" s="425"/>
      <c r="AB54" s="425"/>
      <c r="AC54" s="425"/>
      <c r="AD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</row>
    <row r="55" spans="1:58" ht="30" customHeight="1" thickBot="1" x14ac:dyDescent="0.25">
      <c r="A55" s="1540" t="s">
        <v>30</v>
      </c>
      <c r="B55" s="1541"/>
      <c r="C55" s="1521" t="s">
        <v>421</v>
      </c>
      <c r="D55" s="1545" t="s">
        <v>289</v>
      </c>
      <c r="E55" s="1546" t="s">
        <v>422</v>
      </c>
      <c r="F55" s="1290">
        <v>15.4</v>
      </c>
      <c r="G55" s="1291">
        <v>0.1</v>
      </c>
      <c r="H55" s="1292">
        <v>-0.1</v>
      </c>
      <c r="I55" s="1293">
        <v>0.3</v>
      </c>
      <c r="J55" s="1488">
        <v>2</v>
      </c>
      <c r="K55" s="1491">
        <v>43606</v>
      </c>
      <c r="L55" s="1500" t="s">
        <v>592</v>
      </c>
      <c r="M55" s="499"/>
      <c r="N55" s="482"/>
      <c r="O55" s="549"/>
      <c r="P55" s="549"/>
      <c r="Q55" s="549"/>
      <c r="R55" s="549"/>
      <c r="S55" s="689"/>
      <c r="T55" s="690"/>
      <c r="U55" s="425"/>
      <c r="V55" s="425"/>
      <c r="W55" s="425"/>
      <c r="X55" s="425"/>
      <c r="Y55" s="425"/>
      <c r="Z55" s="425"/>
      <c r="AA55" s="425"/>
      <c r="AB55" s="425"/>
      <c r="AC55" s="425"/>
      <c r="AD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</row>
    <row r="56" spans="1:58" ht="30" customHeight="1" x14ac:dyDescent="0.2">
      <c r="A56" s="1542"/>
      <c r="B56" s="1541"/>
      <c r="C56" s="1521"/>
      <c r="D56" s="1545"/>
      <c r="E56" s="1527"/>
      <c r="F56" s="1294">
        <v>24.7</v>
      </c>
      <c r="G56" s="1295">
        <v>0.1</v>
      </c>
      <c r="H56" s="1296">
        <v>0</v>
      </c>
      <c r="I56" s="1297">
        <v>0.3</v>
      </c>
      <c r="J56" s="1488"/>
      <c r="K56" s="1491"/>
      <c r="L56" s="1500"/>
      <c r="M56" s="499"/>
      <c r="N56" s="482"/>
      <c r="O56" s="748"/>
      <c r="P56" s="1362" t="s">
        <v>3</v>
      </c>
      <c r="Q56" s="1363" t="s">
        <v>425</v>
      </c>
      <c r="R56" s="1363" t="s">
        <v>16</v>
      </c>
      <c r="S56" s="1635" t="s">
        <v>614</v>
      </c>
      <c r="T56" s="1498" t="s">
        <v>615</v>
      </c>
      <c r="U56" s="425"/>
      <c r="V56" s="425"/>
      <c r="W56" s="425"/>
      <c r="X56" s="425"/>
      <c r="Y56" s="425"/>
      <c r="Z56" s="425"/>
      <c r="AA56" s="425"/>
      <c r="AB56" s="425"/>
      <c r="AC56" s="425"/>
      <c r="AD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</row>
    <row r="57" spans="1:58" ht="30" customHeight="1" thickBot="1" x14ac:dyDescent="0.25">
      <c r="A57" s="1543"/>
      <c r="B57" s="1544"/>
      <c r="C57" s="1521"/>
      <c r="D57" s="1545"/>
      <c r="E57" s="1527"/>
      <c r="F57" s="1298">
        <v>29.4</v>
      </c>
      <c r="G57" s="1299">
        <v>0.1</v>
      </c>
      <c r="H57" s="1300">
        <v>0</v>
      </c>
      <c r="I57" s="1301">
        <v>0.3</v>
      </c>
      <c r="J57" s="1489"/>
      <c r="K57" s="1492"/>
      <c r="L57" s="1501"/>
      <c r="M57" s="499"/>
      <c r="N57" s="482"/>
      <c r="O57" s="1472" t="s">
        <v>426</v>
      </c>
      <c r="P57" s="1364">
        <f>MAX(I55:I57)</f>
        <v>0.3</v>
      </c>
      <c r="Q57" s="1364">
        <f>MAX(I58:I60)</f>
        <v>1.7</v>
      </c>
      <c r="R57" s="1364">
        <f>MAX(I61:I63)</f>
        <v>8.6999999999999994E-2</v>
      </c>
      <c r="S57" s="1479"/>
      <c r="T57" s="1459"/>
      <c r="U57" s="425"/>
      <c r="V57" s="425"/>
      <c r="W57" s="425"/>
      <c r="X57" s="425"/>
      <c r="Y57" s="425"/>
      <c r="Z57" s="425"/>
      <c r="AA57" s="425"/>
      <c r="AB57" s="425"/>
      <c r="AC57" s="425"/>
      <c r="AD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</row>
    <row r="58" spans="1:58" ht="30" customHeight="1" thickBot="1" x14ac:dyDescent="0.25">
      <c r="A58" s="1483" t="s">
        <v>423</v>
      </c>
      <c r="B58" s="1484"/>
      <c r="C58" s="1521"/>
      <c r="D58" s="1545"/>
      <c r="E58" s="1527"/>
      <c r="F58" s="1290">
        <v>33.200000000000003</v>
      </c>
      <c r="G58" s="1291">
        <v>0.1</v>
      </c>
      <c r="H58" s="1291">
        <v>-3.2</v>
      </c>
      <c r="I58" s="1302">
        <v>1.7</v>
      </c>
      <c r="J58" s="1487">
        <v>2</v>
      </c>
      <c r="K58" s="1490">
        <v>43608</v>
      </c>
      <c r="L58" s="1499" t="s">
        <v>593</v>
      </c>
      <c r="M58" s="499"/>
      <c r="N58" s="482"/>
      <c r="O58" s="1473"/>
      <c r="P58" s="1328"/>
      <c r="Q58" s="1365"/>
      <c r="R58" s="1365"/>
      <c r="S58" s="1480"/>
      <c r="T58" s="1460"/>
      <c r="U58" s="425"/>
      <c r="V58" s="425"/>
      <c r="W58" s="425"/>
      <c r="X58" s="425"/>
      <c r="Y58" s="425"/>
      <c r="Z58" s="425"/>
      <c r="AA58" s="425"/>
      <c r="AB58" s="425"/>
      <c r="AC58" s="425"/>
      <c r="AD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</row>
    <row r="59" spans="1:58" ht="30" customHeight="1" x14ac:dyDescent="0.2">
      <c r="A59" s="1481"/>
      <c r="B59" s="1482"/>
      <c r="C59" s="1521"/>
      <c r="D59" s="1545"/>
      <c r="E59" s="1527"/>
      <c r="F59" s="1303">
        <v>51.2</v>
      </c>
      <c r="G59" s="1295">
        <v>0.1</v>
      </c>
      <c r="H59" s="1304">
        <v>-1.2</v>
      </c>
      <c r="I59" s="1297">
        <v>1.7</v>
      </c>
      <c r="J59" s="1488"/>
      <c r="K59" s="1491"/>
      <c r="L59" s="1500"/>
      <c r="M59" s="499"/>
      <c r="N59" s="482"/>
      <c r="O59" s="577"/>
      <c r="P59" s="390"/>
      <c r="Q59" s="424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</row>
    <row r="60" spans="1:58" ht="30" customHeight="1" thickBot="1" x14ac:dyDescent="0.25">
      <c r="A60" s="1485"/>
      <c r="B60" s="1486"/>
      <c r="C60" s="1521"/>
      <c r="D60" s="1545"/>
      <c r="E60" s="1527"/>
      <c r="F60" s="1305">
        <v>77.2</v>
      </c>
      <c r="G60" s="1299">
        <v>0.1</v>
      </c>
      <c r="H60" s="1306">
        <v>2.8</v>
      </c>
      <c r="I60" s="1301">
        <v>1.7</v>
      </c>
      <c r="J60" s="1489"/>
      <c r="K60" s="1492"/>
      <c r="L60" s="1501"/>
      <c r="M60" s="499"/>
      <c r="N60" s="482"/>
      <c r="O60" s="577"/>
      <c r="P60" s="390"/>
      <c r="Q60" s="424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</row>
    <row r="61" spans="1:58" ht="30" customHeight="1" x14ac:dyDescent="0.2">
      <c r="A61" s="1481" t="s">
        <v>88</v>
      </c>
      <c r="B61" s="1482"/>
      <c r="C61" s="1521"/>
      <c r="D61" s="1545"/>
      <c r="E61" s="1524"/>
      <c r="F61" s="1290">
        <v>699.1</v>
      </c>
      <c r="G61" s="1291">
        <v>0.1</v>
      </c>
      <c r="H61" s="1307">
        <v>-1</v>
      </c>
      <c r="I61" s="1302">
        <v>7.8E-2</v>
      </c>
      <c r="J61" s="1487">
        <v>2</v>
      </c>
      <c r="K61" s="1490">
        <v>43600</v>
      </c>
      <c r="L61" s="1495" t="s">
        <v>594</v>
      </c>
      <c r="M61" s="499"/>
      <c r="N61" s="482"/>
      <c r="O61" s="577"/>
      <c r="P61" s="390"/>
      <c r="Q61" s="424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</row>
    <row r="62" spans="1:58" ht="30" customHeight="1" x14ac:dyDescent="0.2">
      <c r="A62" s="1481"/>
      <c r="B62" s="1482"/>
      <c r="C62" s="1521"/>
      <c r="D62" s="1545"/>
      <c r="E62" s="1524"/>
      <c r="F62" s="1294">
        <v>752.7</v>
      </c>
      <c r="G62" s="1308">
        <v>0.1</v>
      </c>
      <c r="H62" s="1309">
        <v>-0.98</v>
      </c>
      <c r="I62" s="1297">
        <v>8.6999999999999994E-2</v>
      </c>
      <c r="J62" s="1488"/>
      <c r="K62" s="1491"/>
      <c r="L62" s="1496"/>
      <c r="M62" s="499"/>
      <c r="N62" s="482"/>
      <c r="O62" s="577"/>
      <c r="P62" s="390"/>
      <c r="Q62" s="424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</row>
    <row r="63" spans="1:58" ht="30" customHeight="1" thickBot="1" x14ac:dyDescent="0.25">
      <c r="A63" s="1481"/>
      <c r="B63" s="1482"/>
      <c r="C63" s="1521"/>
      <c r="D63" s="1545"/>
      <c r="E63" s="1524"/>
      <c r="F63" s="1298">
        <v>799.1</v>
      </c>
      <c r="G63" s="1306">
        <v>0.1</v>
      </c>
      <c r="H63" s="1310">
        <v>-0.77</v>
      </c>
      <c r="I63" s="1301">
        <v>6.8000000000000005E-2</v>
      </c>
      <c r="J63" s="1494"/>
      <c r="K63" s="1493"/>
      <c r="L63" s="1497"/>
      <c r="M63" s="499"/>
      <c r="N63" s="482"/>
      <c r="O63" s="577"/>
      <c r="P63" s="390"/>
      <c r="Q63" s="424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</row>
    <row r="64" spans="1:58" ht="30" customHeight="1" x14ac:dyDescent="0.2">
      <c r="A64" s="451"/>
      <c r="B64" s="692"/>
      <c r="C64" s="564"/>
      <c r="D64" s="683"/>
      <c r="E64" s="731"/>
      <c r="F64" s="732"/>
      <c r="G64" s="732"/>
      <c r="H64" s="732"/>
      <c r="I64" s="732"/>
      <c r="J64" s="732"/>
      <c r="K64" s="733"/>
      <c r="L64" s="734"/>
      <c r="M64" s="499"/>
      <c r="N64" s="482"/>
      <c r="O64" s="577"/>
      <c r="P64" s="390"/>
      <c r="Q64" s="424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</row>
    <row r="65" spans="1:58" ht="30" customHeight="1" thickBot="1" x14ac:dyDescent="0.25">
      <c r="A65" s="659"/>
      <c r="B65" s="693"/>
      <c r="C65" s="663"/>
      <c r="D65" s="586"/>
      <c r="E65" s="735"/>
      <c r="F65" s="736"/>
      <c r="G65" s="736"/>
      <c r="H65" s="736"/>
      <c r="I65" s="736"/>
      <c r="J65" s="1122"/>
      <c r="K65" s="738"/>
      <c r="L65" s="742"/>
      <c r="M65" s="499"/>
      <c r="N65" s="482"/>
      <c r="O65" s="577"/>
      <c r="P65" s="390"/>
      <c r="Q65" s="424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</row>
    <row r="66" spans="1:58" ht="30" customHeight="1" x14ac:dyDescent="0.2">
      <c r="A66" s="1514" t="s">
        <v>30</v>
      </c>
      <c r="B66" s="1515"/>
      <c r="C66" s="1520" t="s">
        <v>427</v>
      </c>
      <c r="D66" s="1523" t="s">
        <v>289</v>
      </c>
      <c r="E66" s="1526">
        <v>19506160802033</v>
      </c>
      <c r="F66" s="1311">
        <v>15.5</v>
      </c>
      <c r="G66" s="1291">
        <v>0.1</v>
      </c>
      <c r="H66" s="1291">
        <v>-0.2</v>
      </c>
      <c r="I66" s="1312">
        <v>0.3</v>
      </c>
      <c r="J66" s="1528">
        <v>2</v>
      </c>
      <c r="K66" s="1588">
        <v>43606</v>
      </c>
      <c r="L66" s="1589" t="s">
        <v>595</v>
      </c>
      <c r="M66" s="499"/>
      <c r="N66" s="482"/>
      <c r="O66" s="747"/>
      <c r="P66" s="1366" t="s">
        <v>3</v>
      </c>
      <c r="Q66" s="1367" t="s">
        <v>425</v>
      </c>
      <c r="R66" s="1367" t="s">
        <v>16</v>
      </c>
      <c r="S66" s="1478" t="s">
        <v>616</v>
      </c>
      <c r="T66" s="1458" t="s">
        <v>617</v>
      </c>
      <c r="U66" s="425"/>
      <c r="V66" s="425"/>
      <c r="W66" s="425"/>
      <c r="X66" s="425"/>
      <c r="Y66" s="425"/>
      <c r="Z66" s="425"/>
      <c r="AA66" s="425"/>
      <c r="AB66" s="425"/>
      <c r="AC66" s="425"/>
      <c r="AD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</row>
    <row r="67" spans="1:58" ht="30" customHeight="1" x14ac:dyDescent="0.2">
      <c r="A67" s="1516"/>
      <c r="B67" s="1517"/>
      <c r="C67" s="1521"/>
      <c r="D67" s="1524"/>
      <c r="E67" s="1527"/>
      <c r="F67" s="1294">
        <v>24.6</v>
      </c>
      <c r="G67" s="1308">
        <v>0.1</v>
      </c>
      <c r="H67" s="1308">
        <v>0.1</v>
      </c>
      <c r="I67" s="1313">
        <v>0.3</v>
      </c>
      <c r="J67" s="1464"/>
      <c r="K67" s="1466"/>
      <c r="L67" s="1468"/>
      <c r="M67" s="499"/>
      <c r="N67" s="482"/>
      <c r="O67" s="1472" t="s">
        <v>428</v>
      </c>
      <c r="P67" s="1364">
        <f>MAX(I65:I68)</f>
        <v>0.4</v>
      </c>
      <c r="Q67" s="1368">
        <f>MAX(I69:I71)</f>
        <v>1.7</v>
      </c>
      <c r="R67" s="1369">
        <f>MAX(I72:I74)</f>
        <v>0.16</v>
      </c>
      <c r="S67" s="1479"/>
      <c r="T67" s="1459"/>
      <c r="U67" s="425"/>
      <c r="V67" s="425"/>
      <c r="W67" s="425"/>
      <c r="X67" s="425"/>
      <c r="Y67" s="425"/>
      <c r="Z67" s="425"/>
      <c r="AA67" s="425"/>
      <c r="AB67" s="425"/>
      <c r="AC67" s="425"/>
      <c r="AD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</row>
    <row r="68" spans="1:58" ht="30" customHeight="1" thickBot="1" x14ac:dyDescent="0.25">
      <c r="A68" s="1518"/>
      <c r="B68" s="1519"/>
      <c r="C68" s="1521"/>
      <c r="D68" s="1524"/>
      <c r="E68" s="1527"/>
      <c r="F68" s="1305">
        <v>33.9</v>
      </c>
      <c r="G68" s="1306">
        <v>0.1</v>
      </c>
      <c r="H68" s="1306">
        <v>0.3</v>
      </c>
      <c r="I68" s="1314">
        <v>0.4</v>
      </c>
      <c r="J68" s="1464"/>
      <c r="K68" s="1466"/>
      <c r="L68" s="1468"/>
      <c r="M68" s="499"/>
      <c r="N68" s="482"/>
      <c r="O68" s="1473"/>
      <c r="P68" s="1328"/>
      <c r="Q68" s="1365"/>
      <c r="R68" s="1365"/>
      <c r="S68" s="1480"/>
      <c r="T68" s="1460"/>
      <c r="U68" s="425"/>
      <c r="V68" s="425"/>
      <c r="W68" s="425"/>
      <c r="X68" s="425"/>
      <c r="Y68" s="425"/>
      <c r="Z68" s="425"/>
      <c r="AA68" s="425"/>
      <c r="AB68" s="425"/>
      <c r="AC68" s="425"/>
      <c r="AD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</row>
    <row r="69" spans="1:58" ht="30" customHeight="1" x14ac:dyDescent="0.2">
      <c r="A69" s="1483" t="s">
        <v>423</v>
      </c>
      <c r="B69" s="1484"/>
      <c r="C69" s="1521"/>
      <c r="D69" s="1524"/>
      <c r="E69" s="1527"/>
      <c r="F69" s="1290">
        <v>32.700000000000003</v>
      </c>
      <c r="G69" s="1315">
        <v>0.1</v>
      </c>
      <c r="H69" s="1315">
        <v>-2.7</v>
      </c>
      <c r="I69" s="1316">
        <v>1.7</v>
      </c>
      <c r="J69" s="1529">
        <v>2</v>
      </c>
      <c r="K69" s="1465">
        <v>43608</v>
      </c>
      <c r="L69" s="1467" t="s">
        <v>596</v>
      </c>
      <c r="M69" s="499"/>
      <c r="N69" s="482"/>
      <c r="O69" s="577"/>
      <c r="P69" s="390"/>
      <c r="Q69" s="424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</row>
    <row r="70" spans="1:58" ht="30" customHeight="1" x14ac:dyDescent="0.2">
      <c r="A70" s="1481"/>
      <c r="B70" s="1482"/>
      <c r="C70" s="1521"/>
      <c r="D70" s="1524"/>
      <c r="E70" s="1527"/>
      <c r="F70" s="1294">
        <v>50.7</v>
      </c>
      <c r="G70" s="1317">
        <v>0.1</v>
      </c>
      <c r="H70" s="1317">
        <v>-0.7</v>
      </c>
      <c r="I70" s="1318">
        <v>1.7</v>
      </c>
      <c r="J70" s="1464"/>
      <c r="K70" s="1466"/>
      <c r="L70" s="1468"/>
      <c r="M70" s="499"/>
      <c r="N70" s="482"/>
      <c r="O70" s="577"/>
      <c r="P70" s="390"/>
      <c r="Q70" s="424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</row>
    <row r="71" spans="1:58" ht="30" customHeight="1" thickBot="1" x14ac:dyDescent="0.25">
      <c r="A71" s="1485"/>
      <c r="B71" s="1486"/>
      <c r="C71" s="1521"/>
      <c r="D71" s="1524"/>
      <c r="E71" s="1527"/>
      <c r="F71" s="1305">
        <v>68.099999999999994</v>
      </c>
      <c r="G71" s="1319">
        <v>0.1</v>
      </c>
      <c r="H71" s="1319">
        <v>1.8</v>
      </c>
      <c r="I71" s="1320">
        <v>1.7</v>
      </c>
      <c r="J71" s="1464"/>
      <c r="K71" s="1466"/>
      <c r="L71" s="1468"/>
      <c r="M71" s="499"/>
      <c r="N71" s="482"/>
      <c r="O71" s="577"/>
      <c r="P71" s="390"/>
      <c r="Q71" s="424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</row>
    <row r="72" spans="1:58" ht="30" customHeight="1" x14ac:dyDescent="0.2">
      <c r="A72" s="1483" t="s">
        <v>88</v>
      </c>
      <c r="B72" s="1484"/>
      <c r="C72" s="1521"/>
      <c r="D72" s="1524"/>
      <c r="E72" s="1524"/>
      <c r="F72" s="1311">
        <v>699.2</v>
      </c>
      <c r="G72" s="1315">
        <v>0.1</v>
      </c>
      <c r="H72" s="1321">
        <v>-1</v>
      </c>
      <c r="I72" s="1322">
        <v>9.0999999999999998E-2</v>
      </c>
      <c r="J72" s="1529">
        <v>2</v>
      </c>
      <c r="K72" s="1465">
        <v>43587</v>
      </c>
      <c r="L72" s="1606" t="s">
        <v>597</v>
      </c>
      <c r="M72" s="499"/>
      <c r="N72" s="482"/>
      <c r="O72" s="577"/>
      <c r="P72" s="390"/>
      <c r="Q72" s="424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</row>
    <row r="73" spans="1:58" ht="30" customHeight="1" x14ac:dyDescent="0.2">
      <c r="A73" s="1481"/>
      <c r="B73" s="1482"/>
      <c r="C73" s="1521"/>
      <c r="D73" s="1524"/>
      <c r="E73" s="1524"/>
      <c r="F73" s="1294">
        <v>752.7</v>
      </c>
      <c r="G73" s="1317">
        <v>0.1</v>
      </c>
      <c r="H73" s="1323">
        <v>-0.88</v>
      </c>
      <c r="I73" s="1324">
        <v>8.6999999999999994E-2</v>
      </c>
      <c r="J73" s="1464"/>
      <c r="K73" s="1466"/>
      <c r="L73" s="1468"/>
      <c r="M73" s="499"/>
      <c r="N73" s="482"/>
      <c r="O73" s="577"/>
      <c r="P73" s="390"/>
      <c r="Q73" s="424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</row>
    <row r="74" spans="1:58" ht="30" customHeight="1" thickBot="1" x14ac:dyDescent="0.25">
      <c r="A74" s="1485"/>
      <c r="B74" s="1486"/>
      <c r="C74" s="1522"/>
      <c r="D74" s="1525"/>
      <c r="E74" s="1525"/>
      <c r="F74" s="1305">
        <v>799.1</v>
      </c>
      <c r="G74" s="1319">
        <v>0.1</v>
      </c>
      <c r="H74" s="1325">
        <v>-0.7</v>
      </c>
      <c r="I74" s="1326">
        <v>0.16</v>
      </c>
      <c r="J74" s="1530"/>
      <c r="K74" s="1531"/>
      <c r="L74" s="1605"/>
      <c r="M74" s="499"/>
      <c r="N74" s="482"/>
      <c r="O74" s="577"/>
      <c r="P74" s="390"/>
      <c r="Q74" s="424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</row>
    <row r="75" spans="1:58" ht="30" customHeight="1" x14ac:dyDescent="0.2">
      <c r="A75" s="390"/>
      <c r="B75" s="691"/>
      <c r="C75" s="390"/>
      <c r="D75" s="390"/>
      <c r="E75" s="406"/>
      <c r="F75" s="406"/>
      <c r="G75" s="406"/>
      <c r="H75" s="406"/>
      <c r="I75" s="406"/>
      <c r="J75" s="406"/>
      <c r="K75" s="406"/>
      <c r="L75" s="406"/>
      <c r="M75" s="499"/>
      <c r="N75" s="482"/>
      <c r="O75" s="577"/>
      <c r="P75" s="390"/>
      <c r="Q75" s="424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</row>
    <row r="76" spans="1:58" ht="30" customHeight="1" thickBot="1" x14ac:dyDescent="0.25">
      <c r="A76" s="390"/>
      <c r="B76" s="691"/>
      <c r="C76" s="579"/>
      <c r="D76" s="580"/>
      <c r="E76" s="737"/>
      <c r="F76" s="1122"/>
      <c r="G76" s="1122"/>
      <c r="H76" s="1122"/>
      <c r="I76" s="1122"/>
      <c r="J76" s="1122"/>
      <c r="K76" s="738"/>
      <c r="L76" s="499"/>
      <c r="M76" s="499"/>
      <c r="N76" s="482"/>
      <c r="O76" s="577"/>
      <c r="P76" s="390"/>
      <c r="Q76" s="424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</row>
    <row r="77" spans="1:58" ht="30" customHeight="1" x14ac:dyDescent="0.2">
      <c r="A77" s="1567" t="s">
        <v>30</v>
      </c>
      <c r="B77" s="1568"/>
      <c r="C77" s="1520" t="s">
        <v>429</v>
      </c>
      <c r="D77" s="1591" t="s">
        <v>289</v>
      </c>
      <c r="E77" s="1526">
        <v>19406160802033</v>
      </c>
      <c r="F77" s="961">
        <v>15.3</v>
      </c>
      <c r="G77" s="848">
        <v>0.1</v>
      </c>
      <c r="H77" s="849">
        <v>0</v>
      </c>
      <c r="I77" s="962">
        <v>0.2</v>
      </c>
      <c r="J77" s="1626">
        <v>2</v>
      </c>
      <c r="K77" s="1474">
        <v>43266</v>
      </c>
      <c r="L77" s="1476" t="s">
        <v>430</v>
      </c>
      <c r="M77" s="499"/>
      <c r="N77" s="482"/>
      <c r="O77" s="747"/>
      <c r="P77" s="980" t="s">
        <v>3</v>
      </c>
      <c r="Q77" s="981" t="s">
        <v>425</v>
      </c>
      <c r="R77" s="981" t="s">
        <v>16</v>
      </c>
      <c r="S77" s="1455" t="s">
        <v>462</v>
      </c>
      <c r="T77" s="1469" t="s">
        <v>463</v>
      </c>
      <c r="U77" s="425"/>
      <c r="V77" s="425"/>
      <c r="W77" s="425"/>
      <c r="X77" s="425"/>
      <c r="Y77" s="425"/>
      <c r="Z77" s="425"/>
      <c r="AA77" s="425"/>
      <c r="AB77" s="425"/>
      <c r="AC77" s="425"/>
      <c r="AD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</row>
    <row r="78" spans="1:58" ht="30" customHeight="1" thickBot="1" x14ac:dyDescent="0.25">
      <c r="A78" s="1540"/>
      <c r="B78" s="1569"/>
      <c r="C78" s="1521"/>
      <c r="D78" s="1593"/>
      <c r="E78" s="1527"/>
      <c r="F78" s="955">
        <v>24.8</v>
      </c>
      <c r="G78" s="843">
        <v>0.1</v>
      </c>
      <c r="H78" s="958">
        <v>0</v>
      </c>
      <c r="I78" s="963">
        <v>0.2</v>
      </c>
      <c r="J78" s="1610"/>
      <c r="K78" s="1475"/>
      <c r="L78" s="1477"/>
      <c r="M78" s="499"/>
      <c r="N78" s="482"/>
      <c r="O78" s="1472" t="s">
        <v>433</v>
      </c>
      <c r="P78" s="982">
        <f>MAX(I77:I79)</f>
        <v>0.4</v>
      </c>
      <c r="Q78" s="1124">
        <f>MAX(I80:I82)</f>
        <v>1.7</v>
      </c>
      <c r="R78" s="1124">
        <f>MAX(I83:I85)</f>
        <v>0.11</v>
      </c>
      <c r="S78" s="1456"/>
      <c r="T78" s="1470"/>
      <c r="U78" s="425"/>
      <c r="V78" s="425"/>
      <c r="W78" s="425"/>
      <c r="X78" s="425"/>
      <c r="Y78" s="425"/>
      <c r="Z78" s="425"/>
      <c r="AA78" s="425"/>
      <c r="AB78" s="425"/>
      <c r="AC78" s="425"/>
      <c r="AD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</row>
    <row r="79" spans="1:58" ht="30" customHeight="1" thickBot="1" x14ac:dyDescent="0.25">
      <c r="A79" s="1570"/>
      <c r="B79" s="1571"/>
      <c r="C79" s="1521"/>
      <c r="D79" s="1593"/>
      <c r="E79" s="1527"/>
      <c r="F79" s="959">
        <v>34.4</v>
      </c>
      <c r="G79" s="956">
        <v>0.1</v>
      </c>
      <c r="H79" s="964">
        <v>-0.1</v>
      </c>
      <c r="I79" s="937">
        <v>0.4</v>
      </c>
      <c r="J79" s="1610"/>
      <c r="K79" s="1475"/>
      <c r="L79" s="1477"/>
      <c r="M79" s="499"/>
      <c r="N79" s="482"/>
      <c r="O79" s="1473"/>
      <c r="P79" s="1125"/>
      <c r="Q79" s="983"/>
      <c r="R79" s="983"/>
      <c r="S79" s="1457"/>
      <c r="T79" s="1471"/>
      <c r="U79" s="425"/>
      <c r="V79" s="425"/>
      <c r="W79" s="425"/>
      <c r="X79" s="425"/>
      <c r="Y79" s="425"/>
      <c r="Z79" s="425"/>
      <c r="AA79" s="425"/>
      <c r="AB79" s="425"/>
      <c r="AC79" s="425"/>
      <c r="AD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</row>
    <row r="80" spans="1:58" ht="30" customHeight="1" x14ac:dyDescent="0.2">
      <c r="A80" s="1483" t="s">
        <v>423</v>
      </c>
      <c r="B80" s="1532"/>
      <c r="C80" s="1521"/>
      <c r="D80" s="1593"/>
      <c r="E80" s="1527"/>
      <c r="F80" s="954">
        <v>32.5</v>
      </c>
      <c r="G80" s="848">
        <v>0.1</v>
      </c>
      <c r="H80" s="848">
        <v>-2.5</v>
      </c>
      <c r="I80" s="957">
        <v>1.7</v>
      </c>
      <c r="J80" s="1609">
        <v>2</v>
      </c>
      <c r="K80" s="1612">
        <v>43266</v>
      </c>
      <c r="L80" s="1615" t="s">
        <v>431</v>
      </c>
      <c r="M80" s="499"/>
      <c r="N80" s="482"/>
      <c r="O80" s="577"/>
      <c r="P80" s="390"/>
      <c r="Q80" s="424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25"/>
      <c r="AD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</row>
    <row r="81" spans="1:58" ht="30" customHeight="1" x14ac:dyDescent="0.2">
      <c r="A81" s="1481"/>
      <c r="B81" s="1533"/>
      <c r="C81" s="1521"/>
      <c r="D81" s="1593"/>
      <c r="E81" s="1527"/>
      <c r="F81" s="955">
        <v>50.8</v>
      </c>
      <c r="G81" s="843">
        <v>0.1</v>
      </c>
      <c r="H81" s="843">
        <v>-0.8</v>
      </c>
      <c r="I81" s="845">
        <v>1.7</v>
      </c>
      <c r="J81" s="1610">
        <v>2</v>
      </c>
      <c r="K81" s="1475"/>
      <c r="L81" s="1477"/>
      <c r="M81" s="499"/>
      <c r="N81" s="482"/>
      <c r="O81" s="577"/>
      <c r="P81" s="390"/>
      <c r="Q81" s="424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</row>
    <row r="82" spans="1:58" ht="30" customHeight="1" thickBot="1" x14ac:dyDescent="0.25">
      <c r="A82" s="1485"/>
      <c r="B82" s="1534"/>
      <c r="C82" s="1521"/>
      <c r="D82" s="1593"/>
      <c r="E82" s="1527"/>
      <c r="F82" s="959">
        <v>78.2</v>
      </c>
      <c r="G82" s="852">
        <v>0.1</v>
      </c>
      <c r="H82" s="852">
        <v>1.8</v>
      </c>
      <c r="I82" s="937">
        <v>1.7</v>
      </c>
      <c r="J82" s="1610"/>
      <c r="K82" s="1475"/>
      <c r="L82" s="1477"/>
      <c r="M82" s="499"/>
      <c r="N82" s="482"/>
      <c r="O82" s="577"/>
      <c r="P82" s="390"/>
      <c r="Q82" s="424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25"/>
      <c r="AD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</row>
    <row r="83" spans="1:58" ht="30" customHeight="1" x14ac:dyDescent="0.2">
      <c r="A83" s="1483" t="s">
        <v>88</v>
      </c>
      <c r="B83" s="1532"/>
      <c r="C83" s="1521"/>
      <c r="D83" s="1593"/>
      <c r="E83" s="1524"/>
      <c r="F83" s="961">
        <v>698.4</v>
      </c>
      <c r="G83" s="848">
        <v>0.1</v>
      </c>
      <c r="H83" s="847">
        <v>-0.83</v>
      </c>
      <c r="I83" s="1129">
        <v>6.5000000000000002E-2</v>
      </c>
      <c r="J83" s="1609">
        <v>2</v>
      </c>
      <c r="K83" s="1612">
        <v>43333</v>
      </c>
      <c r="L83" s="1607" t="s">
        <v>461</v>
      </c>
      <c r="M83" s="499"/>
      <c r="N83" s="482"/>
      <c r="O83" s="577"/>
      <c r="P83" s="390"/>
      <c r="Q83" s="424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</row>
    <row r="84" spans="1:58" ht="30" customHeight="1" x14ac:dyDescent="0.2">
      <c r="A84" s="1481"/>
      <c r="B84" s="1533"/>
      <c r="C84" s="1521"/>
      <c r="D84" s="1593"/>
      <c r="E84" s="1524"/>
      <c r="F84" s="955">
        <v>752.8</v>
      </c>
      <c r="G84" s="843">
        <v>0.1</v>
      </c>
      <c r="H84" s="936">
        <v>-0.69</v>
      </c>
      <c r="I84" s="1126">
        <v>7.8E-2</v>
      </c>
      <c r="J84" s="1610">
        <v>2</v>
      </c>
      <c r="K84" s="1475">
        <v>42671</v>
      </c>
      <c r="L84" s="1477" t="s">
        <v>432</v>
      </c>
      <c r="M84" s="499"/>
      <c r="N84" s="482"/>
      <c r="O84" s="577"/>
      <c r="P84" s="390"/>
      <c r="Q84" s="424"/>
      <c r="R84" s="425"/>
      <c r="S84" s="425"/>
      <c r="T84" s="425"/>
      <c r="U84" s="425"/>
      <c r="V84" s="425"/>
      <c r="W84" s="425"/>
      <c r="X84" s="425"/>
      <c r="Y84" s="425"/>
      <c r="Z84" s="425"/>
      <c r="AA84" s="425"/>
      <c r="AB84" s="425"/>
      <c r="AC84" s="425"/>
      <c r="AD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</row>
    <row r="85" spans="1:58" ht="30" customHeight="1" thickBot="1" x14ac:dyDescent="0.25">
      <c r="A85" s="1485"/>
      <c r="B85" s="1534"/>
      <c r="C85" s="1522"/>
      <c r="D85" s="1597"/>
      <c r="E85" s="1525"/>
      <c r="F85" s="959">
        <v>798.4</v>
      </c>
      <c r="G85" s="852">
        <v>0.1</v>
      </c>
      <c r="H85" s="960">
        <v>-0.75</v>
      </c>
      <c r="I85" s="1127">
        <v>0.11</v>
      </c>
      <c r="J85" s="1611"/>
      <c r="K85" s="1613"/>
      <c r="L85" s="1608"/>
      <c r="M85" s="499"/>
      <c r="N85" s="482"/>
      <c r="O85" s="577"/>
      <c r="P85" s="390"/>
      <c r="Q85" s="424"/>
      <c r="R85" s="425"/>
      <c r="S85" s="425"/>
      <c r="T85" s="425"/>
      <c r="U85" s="425"/>
      <c r="V85" s="425"/>
      <c r="W85" s="425"/>
      <c r="X85" s="425"/>
      <c r="Y85" s="425"/>
      <c r="Z85" s="425"/>
      <c r="AA85" s="425"/>
      <c r="AB85" s="425"/>
      <c r="AC85" s="425"/>
      <c r="AD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</row>
    <row r="86" spans="1:58" ht="30" customHeight="1" x14ac:dyDescent="0.2">
      <c r="A86" s="390"/>
      <c r="B86" s="691"/>
      <c r="C86" s="390"/>
      <c r="D86" s="390"/>
      <c r="E86" s="406"/>
      <c r="F86" s="406"/>
      <c r="G86" s="406"/>
      <c r="H86" s="406"/>
      <c r="I86" s="406"/>
      <c r="J86" s="406"/>
      <c r="K86" s="406"/>
      <c r="L86" s="406"/>
      <c r="M86" s="499"/>
      <c r="N86" s="482"/>
      <c r="O86" s="577"/>
      <c r="P86" s="390"/>
      <c r="Q86" s="424"/>
      <c r="R86" s="425"/>
      <c r="S86" s="425"/>
      <c r="T86" s="425"/>
      <c r="U86" s="425"/>
      <c r="V86" s="425"/>
      <c r="W86" s="425"/>
      <c r="X86" s="425"/>
      <c r="Y86" s="425"/>
      <c r="Z86" s="425"/>
      <c r="AA86" s="425"/>
      <c r="AB86" s="425"/>
      <c r="AC86" s="425"/>
      <c r="AD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</row>
    <row r="87" spans="1:58" ht="30" customHeight="1" thickBot="1" x14ac:dyDescent="0.25">
      <c r="A87" s="390"/>
      <c r="B87" s="691"/>
      <c r="C87" s="580"/>
      <c r="D87" s="579"/>
      <c r="E87" s="737"/>
      <c r="F87" s="1122"/>
      <c r="G87" s="1122"/>
      <c r="H87" s="1122"/>
      <c r="I87" s="1122"/>
      <c r="J87" s="1122"/>
      <c r="K87" s="738"/>
      <c r="L87" s="499"/>
      <c r="M87" s="499"/>
      <c r="N87" s="482"/>
      <c r="O87" s="577"/>
      <c r="P87" s="390"/>
      <c r="Q87" s="424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</row>
    <row r="88" spans="1:58" ht="30" customHeight="1" x14ac:dyDescent="0.2">
      <c r="A88" s="1590" t="s">
        <v>30</v>
      </c>
      <c r="B88" s="1591"/>
      <c r="C88" s="1572" t="s">
        <v>434</v>
      </c>
      <c r="D88" s="1591" t="s">
        <v>289</v>
      </c>
      <c r="E88" s="1526" t="s">
        <v>435</v>
      </c>
      <c r="F88" s="1290">
        <v>15.5</v>
      </c>
      <c r="G88" s="1291">
        <v>0.1</v>
      </c>
      <c r="H88" s="1292">
        <v>-0.2</v>
      </c>
      <c r="I88" s="1329">
        <v>0.3</v>
      </c>
      <c r="J88" s="1614">
        <v>2</v>
      </c>
      <c r="K88" s="1588">
        <v>43599</v>
      </c>
      <c r="L88" s="1589" t="s">
        <v>598</v>
      </c>
      <c r="M88" s="499"/>
      <c r="N88" s="482"/>
      <c r="O88" s="747"/>
      <c r="P88" s="1366" t="s">
        <v>3</v>
      </c>
      <c r="Q88" s="1367" t="s">
        <v>425</v>
      </c>
      <c r="R88" s="1367" t="s">
        <v>16</v>
      </c>
      <c r="S88" s="1478" t="s">
        <v>618</v>
      </c>
      <c r="T88" s="1458" t="s">
        <v>619</v>
      </c>
      <c r="U88" s="425"/>
      <c r="V88" s="425"/>
      <c r="W88" s="425"/>
      <c r="X88" s="425"/>
      <c r="Y88" s="425"/>
      <c r="Z88" s="425"/>
      <c r="AA88" s="425"/>
      <c r="AB88" s="425"/>
      <c r="AC88" s="425"/>
      <c r="AD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</row>
    <row r="89" spans="1:58" ht="30" customHeight="1" x14ac:dyDescent="0.2">
      <c r="A89" s="1592"/>
      <c r="B89" s="1593"/>
      <c r="C89" s="1524"/>
      <c r="D89" s="1593"/>
      <c r="E89" s="1527"/>
      <c r="F89" s="1294">
        <v>24.6</v>
      </c>
      <c r="G89" s="1308">
        <v>0.1</v>
      </c>
      <c r="H89" s="1304">
        <v>0.1</v>
      </c>
      <c r="I89" s="1330">
        <v>0.3</v>
      </c>
      <c r="J89" s="1602"/>
      <c r="K89" s="1466"/>
      <c r="L89" s="1468"/>
      <c r="M89" s="499"/>
      <c r="N89" s="482"/>
      <c r="O89" s="1472" t="s">
        <v>436</v>
      </c>
      <c r="P89" s="1370">
        <f>MAX(I88:I90)</f>
        <v>0.3</v>
      </c>
      <c r="Q89" s="1327">
        <f>MAX(I91:I93)</f>
        <v>1.7</v>
      </c>
      <c r="R89" s="1327">
        <f>MAX(I94:I96)</f>
        <v>0.11</v>
      </c>
      <c r="S89" s="1479"/>
      <c r="T89" s="1459"/>
      <c r="U89" s="425"/>
      <c r="V89" s="425"/>
      <c r="W89" s="425"/>
      <c r="X89" s="425"/>
      <c r="Y89" s="425"/>
      <c r="Z89" s="425"/>
      <c r="AA89" s="425"/>
      <c r="AB89" s="425"/>
      <c r="AC89" s="425"/>
      <c r="AD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</row>
    <row r="90" spans="1:58" ht="30" customHeight="1" thickBot="1" x14ac:dyDescent="0.25">
      <c r="A90" s="1592"/>
      <c r="B90" s="1593"/>
      <c r="C90" s="1524"/>
      <c r="D90" s="1593"/>
      <c r="E90" s="1527"/>
      <c r="F90" s="1298">
        <v>29.2</v>
      </c>
      <c r="G90" s="1306">
        <v>0.1</v>
      </c>
      <c r="H90" s="1331">
        <v>0.3</v>
      </c>
      <c r="I90" s="1332">
        <v>0.3</v>
      </c>
      <c r="J90" s="1602">
        <v>1.96</v>
      </c>
      <c r="K90" s="1466"/>
      <c r="L90" s="1468"/>
      <c r="M90" s="499"/>
      <c r="N90" s="482"/>
      <c r="O90" s="1473"/>
      <c r="P90" s="1328"/>
      <c r="Q90" s="1365"/>
      <c r="R90" s="1365"/>
      <c r="S90" s="1480"/>
      <c r="T90" s="1460"/>
      <c r="U90" s="425"/>
      <c r="V90" s="425"/>
      <c r="W90" s="425"/>
      <c r="X90" s="425"/>
      <c r="Y90" s="425"/>
      <c r="Z90" s="425"/>
      <c r="AA90" s="425"/>
      <c r="AB90" s="425"/>
      <c r="AC90" s="425"/>
      <c r="AD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</row>
    <row r="91" spans="1:58" ht="30" customHeight="1" x14ac:dyDescent="0.2">
      <c r="A91" s="1461" t="s">
        <v>423</v>
      </c>
      <c r="B91" s="1462"/>
      <c r="C91" s="1524"/>
      <c r="D91" s="1593"/>
      <c r="E91" s="1527"/>
      <c r="F91" s="1290">
        <v>33.6</v>
      </c>
      <c r="G91" s="1291">
        <v>0.1</v>
      </c>
      <c r="H91" s="1291">
        <v>-3.6</v>
      </c>
      <c r="I91" s="1333">
        <v>1.7</v>
      </c>
      <c r="J91" s="1601">
        <v>2</v>
      </c>
      <c r="K91" s="1465">
        <v>43600</v>
      </c>
      <c r="L91" s="1467" t="s">
        <v>599</v>
      </c>
      <c r="M91" s="499"/>
      <c r="N91" s="482"/>
      <c r="O91" s="577"/>
      <c r="P91" s="390"/>
      <c r="Q91" s="424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</row>
    <row r="92" spans="1:58" ht="30" customHeight="1" x14ac:dyDescent="0.2">
      <c r="A92" s="1461"/>
      <c r="B92" s="1462"/>
      <c r="C92" s="1524"/>
      <c r="D92" s="1593"/>
      <c r="E92" s="1527"/>
      <c r="F92" s="1294">
        <v>51.2</v>
      </c>
      <c r="G92" s="1308">
        <v>0.1</v>
      </c>
      <c r="H92" s="1308">
        <v>-1.2</v>
      </c>
      <c r="I92" s="1334">
        <v>1.7</v>
      </c>
      <c r="J92" s="1602">
        <v>1.96</v>
      </c>
      <c r="K92" s="1466"/>
      <c r="L92" s="1468"/>
      <c r="M92" s="499"/>
      <c r="N92" s="482"/>
      <c r="O92" s="577"/>
      <c r="P92" s="390"/>
      <c r="Q92" s="424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</row>
    <row r="93" spans="1:58" ht="30" customHeight="1" thickBot="1" x14ac:dyDescent="0.25">
      <c r="A93" s="1461"/>
      <c r="B93" s="1462"/>
      <c r="C93" s="1524"/>
      <c r="D93" s="1593"/>
      <c r="E93" s="1527"/>
      <c r="F93" s="1305">
        <v>68.5</v>
      </c>
      <c r="G93" s="1306">
        <v>0.1</v>
      </c>
      <c r="H93" s="1306">
        <v>1.5</v>
      </c>
      <c r="I93" s="1335">
        <v>1.7</v>
      </c>
      <c r="J93" s="1602"/>
      <c r="K93" s="1466"/>
      <c r="L93" s="1468"/>
      <c r="M93" s="499"/>
      <c r="N93" s="482"/>
      <c r="O93" s="577"/>
      <c r="P93" s="390"/>
      <c r="Q93" s="424"/>
      <c r="R93" s="425"/>
      <c r="S93" s="425"/>
      <c r="T93" s="425"/>
      <c r="U93" s="425"/>
      <c r="V93" s="425"/>
      <c r="W93" s="425"/>
      <c r="X93" s="425"/>
      <c r="Y93" s="425"/>
      <c r="Z93" s="425"/>
      <c r="AA93" s="425"/>
      <c r="AB93" s="425"/>
      <c r="AC93" s="425"/>
      <c r="AD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</row>
    <row r="94" spans="1:58" ht="30" customHeight="1" x14ac:dyDescent="0.2">
      <c r="A94" s="1461" t="s">
        <v>88</v>
      </c>
      <c r="B94" s="1462"/>
      <c r="C94" s="1524"/>
      <c r="D94" s="1593"/>
      <c r="E94" s="1524"/>
      <c r="F94" s="1290">
        <v>699.2</v>
      </c>
      <c r="G94" s="1291">
        <v>0.1</v>
      </c>
      <c r="H94" s="1291">
        <v>-0.92</v>
      </c>
      <c r="I94" s="1336">
        <v>0.11</v>
      </c>
      <c r="J94" s="1601">
        <v>2</v>
      </c>
      <c r="K94" s="1465">
        <v>43600</v>
      </c>
      <c r="L94" s="1604" t="s">
        <v>600</v>
      </c>
      <c r="M94" s="499"/>
      <c r="N94" s="482"/>
      <c r="O94" s="577"/>
      <c r="P94" s="390"/>
      <c r="Q94" s="424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25"/>
      <c r="AD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</row>
    <row r="95" spans="1:58" ht="30" customHeight="1" x14ac:dyDescent="0.2">
      <c r="A95" s="1461"/>
      <c r="B95" s="1462"/>
      <c r="C95" s="1524"/>
      <c r="D95" s="1593"/>
      <c r="E95" s="1524"/>
      <c r="F95" s="1294">
        <v>752.7</v>
      </c>
      <c r="G95" s="1308">
        <v>0.1</v>
      </c>
      <c r="H95" s="1337">
        <v>-0.88</v>
      </c>
      <c r="I95" s="1324">
        <v>8.6999999999999994E-2</v>
      </c>
      <c r="J95" s="1602">
        <v>2</v>
      </c>
      <c r="K95" s="1466">
        <v>42625</v>
      </c>
      <c r="L95" s="1468" t="s">
        <v>375</v>
      </c>
      <c r="M95" s="499"/>
      <c r="N95" s="482"/>
      <c r="O95" s="577"/>
      <c r="P95" s="390"/>
      <c r="Q95" s="424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</row>
    <row r="96" spans="1:58" ht="30" customHeight="1" thickBot="1" x14ac:dyDescent="0.25">
      <c r="A96" s="1599"/>
      <c r="B96" s="1600"/>
      <c r="C96" s="1525"/>
      <c r="D96" s="1597"/>
      <c r="E96" s="1525"/>
      <c r="F96" s="1305">
        <v>799.2</v>
      </c>
      <c r="G96" s="1306">
        <v>0.1</v>
      </c>
      <c r="H96" s="1306">
        <v>-0.82</v>
      </c>
      <c r="I96" s="1326">
        <v>6.8000000000000005E-2</v>
      </c>
      <c r="J96" s="1603"/>
      <c r="K96" s="1531"/>
      <c r="L96" s="1605"/>
      <c r="M96" s="499"/>
      <c r="N96" s="482"/>
      <c r="O96" s="577"/>
      <c r="P96" s="390"/>
      <c r="Q96" s="424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</row>
    <row r="97" spans="1:58" ht="30" customHeight="1" x14ac:dyDescent="0.2">
      <c r="A97" s="390"/>
      <c r="B97" s="691"/>
      <c r="C97" s="390"/>
      <c r="D97" s="390"/>
      <c r="E97" s="406"/>
      <c r="F97" s="406"/>
      <c r="G97" s="406"/>
      <c r="H97" s="406"/>
      <c r="I97" s="406"/>
      <c r="J97" s="406"/>
      <c r="K97" s="406"/>
      <c r="L97" s="406"/>
      <c r="M97" s="499"/>
      <c r="N97" s="482"/>
      <c r="O97" s="577"/>
      <c r="P97" s="390"/>
      <c r="Q97" s="424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</row>
    <row r="98" spans="1:58" ht="30" customHeight="1" thickBot="1" x14ac:dyDescent="0.25">
      <c r="A98" s="390"/>
      <c r="B98" s="691"/>
      <c r="C98" s="580"/>
      <c r="D98" s="579"/>
      <c r="E98" s="737"/>
      <c r="F98" s="1122"/>
      <c r="G98" s="1122"/>
      <c r="H98" s="1122"/>
      <c r="I98" s="1122"/>
      <c r="J98" s="1122"/>
      <c r="K98" s="738"/>
      <c r="L98" s="499"/>
      <c r="M98" s="499"/>
      <c r="N98" s="482"/>
      <c r="O98" s="577"/>
      <c r="P98" s="390"/>
      <c r="Q98" s="424"/>
      <c r="R98" s="425"/>
      <c r="S98" s="425"/>
      <c r="T98" s="425"/>
      <c r="U98" s="425"/>
      <c r="V98" s="425"/>
      <c r="W98" s="425"/>
      <c r="X98" s="425"/>
      <c r="Y98" s="425"/>
      <c r="Z98" s="425"/>
      <c r="AA98" s="425"/>
      <c r="AB98" s="425"/>
      <c r="AC98" s="425"/>
      <c r="AD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</row>
    <row r="99" spans="1:58" ht="30" customHeight="1" x14ac:dyDescent="0.2">
      <c r="A99" s="1590" t="s">
        <v>30</v>
      </c>
      <c r="B99" s="1591"/>
      <c r="C99" s="1594" t="s">
        <v>437</v>
      </c>
      <c r="D99" s="1591" t="s">
        <v>289</v>
      </c>
      <c r="E99" s="1598" t="s">
        <v>438</v>
      </c>
      <c r="F99" s="1290">
        <v>15.4</v>
      </c>
      <c r="G99" s="1291">
        <v>0.1</v>
      </c>
      <c r="H99" s="1292">
        <v>-0.1</v>
      </c>
      <c r="I99" s="1338">
        <v>0.3</v>
      </c>
      <c r="J99" s="1528">
        <v>2</v>
      </c>
      <c r="K99" s="1588">
        <v>43599</v>
      </c>
      <c r="L99" s="1589" t="s">
        <v>601</v>
      </c>
      <c r="M99" s="499"/>
      <c r="N99" s="482"/>
      <c r="O99" s="747"/>
      <c r="P99" s="1366" t="s">
        <v>3</v>
      </c>
      <c r="Q99" s="1367" t="s">
        <v>425</v>
      </c>
      <c r="R99" s="1367" t="s">
        <v>16</v>
      </c>
      <c r="S99" s="1478" t="s">
        <v>620</v>
      </c>
      <c r="T99" s="1458" t="s">
        <v>621</v>
      </c>
      <c r="U99" s="425"/>
      <c r="V99" s="425"/>
      <c r="W99" s="425"/>
      <c r="X99" s="425"/>
      <c r="Y99" s="425"/>
      <c r="Z99" s="425"/>
      <c r="AA99" s="425"/>
      <c r="AB99" s="425"/>
      <c r="AC99" s="425"/>
      <c r="AD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</row>
    <row r="100" spans="1:58" ht="30" customHeight="1" x14ac:dyDescent="0.2">
      <c r="A100" s="1592"/>
      <c r="B100" s="1593"/>
      <c r="C100" s="1595"/>
      <c r="D100" s="1593"/>
      <c r="E100" s="1527"/>
      <c r="F100" s="1303">
        <v>24.7</v>
      </c>
      <c r="G100" s="1308">
        <v>0.1</v>
      </c>
      <c r="H100" s="1304">
        <v>0</v>
      </c>
      <c r="I100" s="1339">
        <v>0.3</v>
      </c>
      <c r="J100" s="1464"/>
      <c r="K100" s="1466"/>
      <c r="L100" s="1468"/>
      <c r="M100" s="499"/>
      <c r="N100" s="482"/>
      <c r="O100" s="1472" t="s">
        <v>441</v>
      </c>
      <c r="P100" s="1370">
        <f>MAX(I99:I101)</f>
        <v>0.3</v>
      </c>
      <c r="Q100" s="1327">
        <f>MAX(I102:I104)</f>
        <v>1.7</v>
      </c>
      <c r="R100" s="1327">
        <f>MAX(I105:I107)</f>
        <v>0.11</v>
      </c>
      <c r="S100" s="1479"/>
      <c r="T100" s="1459"/>
      <c r="U100" s="425"/>
      <c r="V100" s="425"/>
      <c r="W100" s="425"/>
      <c r="X100" s="425"/>
      <c r="Y100" s="425"/>
      <c r="Z100" s="425"/>
      <c r="AA100" s="425"/>
      <c r="AB100" s="425"/>
      <c r="AC100" s="425"/>
      <c r="AD100" s="390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</row>
    <row r="101" spans="1:58" ht="30" customHeight="1" thickBot="1" x14ac:dyDescent="0.25">
      <c r="A101" s="1592"/>
      <c r="B101" s="1593"/>
      <c r="C101" s="1595"/>
      <c r="D101" s="1593"/>
      <c r="E101" s="1527"/>
      <c r="F101" s="1298">
        <v>29.4</v>
      </c>
      <c r="G101" s="1306">
        <v>0.1</v>
      </c>
      <c r="H101" s="1331">
        <v>0.1</v>
      </c>
      <c r="I101" s="1340">
        <v>0.3</v>
      </c>
      <c r="J101" s="1464"/>
      <c r="K101" s="1466"/>
      <c r="L101" s="1468"/>
      <c r="M101" s="499"/>
      <c r="N101" s="482"/>
      <c r="O101" s="1473"/>
      <c r="P101" s="1328"/>
      <c r="Q101" s="1365"/>
      <c r="R101" s="1365"/>
      <c r="S101" s="1480"/>
      <c r="T101" s="1460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</row>
    <row r="102" spans="1:58" ht="30" customHeight="1" x14ac:dyDescent="0.2">
      <c r="A102" s="1461" t="s">
        <v>423</v>
      </c>
      <c r="B102" s="1462"/>
      <c r="C102" s="1595"/>
      <c r="D102" s="1593"/>
      <c r="E102" s="1527"/>
      <c r="F102" s="1290">
        <v>33.6</v>
      </c>
      <c r="G102" s="1291">
        <v>0.1</v>
      </c>
      <c r="H102" s="1291">
        <v>-3.6</v>
      </c>
      <c r="I102" s="1333">
        <v>1.7</v>
      </c>
      <c r="J102" s="1463">
        <v>2</v>
      </c>
      <c r="K102" s="1465">
        <v>43600</v>
      </c>
      <c r="L102" s="1467" t="s">
        <v>602</v>
      </c>
      <c r="M102" s="499"/>
      <c r="N102" s="482"/>
      <c r="O102" s="577"/>
      <c r="P102" s="390"/>
      <c r="Q102" s="424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</row>
    <row r="103" spans="1:58" ht="30" customHeight="1" x14ac:dyDescent="0.2">
      <c r="A103" s="1461"/>
      <c r="B103" s="1462"/>
      <c r="C103" s="1595"/>
      <c r="D103" s="1593"/>
      <c r="E103" s="1527"/>
      <c r="F103" s="1294">
        <v>51.2</v>
      </c>
      <c r="G103" s="1308">
        <v>0.1</v>
      </c>
      <c r="H103" s="1308">
        <v>-1.2</v>
      </c>
      <c r="I103" s="1341">
        <v>1.7</v>
      </c>
      <c r="J103" s="1464"/>
      <c r="K103" s="1466"/>
      <c r="L103" s="1468"/>
      <c r="M103" s="499"/>
      <c r="N103" s="482"/>
      <c r="O103" s="577"/>
      <c r="P103" s="390"/>
      <c r="Q103" s="424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</row>
    <row r="104" spans="1:58" ht="30" customHeight="1" thickBot="1" x14ac:dyDescent="0.25">
      <c r="A104" s="1461"/>
      <c r="B104" s="1462"/>
      <c r="C104" s="1595"/>
      <c r="D104" s="1593"/>
      <c r="E104" s="1527"/>
      <c r="F104" s="1305">
        <v>68.3</v>
      </c>
      <c r="G104" s="1306">
        <v>0.1</v>
      </c>
      <c r="H104" s="1306">
        <v>1.7</v>
      </c>
      <c r="I104" s="1342">
        <v>1.7</v>
      </c>
      <c r="J104" s="1464"/>
      <c r="K104" s="1466"/>
      <c r="L104" s="1468"/>
      <c r="M104" s="499"/>
      <c r="N104" s="482"/>
      <c r="O104" s="577"/>
      <c r="P104" s="390"/>
      <c r="Q104" s="424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390"/>
      <c r="AV104" s="390"/>
      <c r="AW104" s="390"/>
      <c r="AX104" s="390"/>
      <c r="AY104" s="390"/>
      <c r="AZ104" s="390"/>
      <c r="BA104" s="390"/>
      <c r="BB104" s="390"/>
      <c r="BC104" s="390"/>
      <c r="BD104" s="390"/>
      <c r="BE104" s="390"/>
      <c r="BF104" s="390"/>
    </row>
    <row r="105" spans="1:58" ht="30" customHeight="1" x14ac:dyDescent="0.2">
      <c r="A105" s="1461" t="s">
        <v>88</v>
      </c>
      <c r="B105" s="1462"/>
      <c r="C105" s="1595"/>
      <c r="D105" s="1593"/>
      <c r="E105" s="1524"/>
      <c r="F105" s="1343">
        <v>699.2</v>
      </c>
      <c r="G105" s="1295">
        <v>0.1</v>
      </c>
      <c r="H105" s="1295">
        <v>-0.99</v>
      </c>
      <c r="I105" s="1344">
        <v>6.8000000000000005E-2</v>
      </c>
      <c r="J105" s="1601">
        <v>1.96</v>
      </c>
      <c r="K105" s="1465">
        <v>43600</v>
      </c>
      <c r="L105" s="1604" t="s">
        <v>603</v>
      </c>
      <c r="M105" s="499"/>
      <c r="N105" s="482"/>
      <c r="O105" s="577"/>
      <c r="P105" s="390"/>
      <c r="Q105" s="424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390"/>
      <c r="AV105" s="390"/>
      <c r="AW105" s="390"/>
      <c r="AX105" s="390"/>
      <c r="AY105" s="390"/>
      <c r="AZ105" s="390"/>
      <c r="BA105" s="390"/>
      <c r="BB105" s="390"/>
      <c r="BC105" s="390"/>
      <c r="BD105" s="390"/>
      <c r="BE105" s="390"/>
      <c r="BF105" s="390"/>
    </row>
    <row r="106" spans="1:58" ht="30" customHeight="1" x14ac:dyDescent="0.2">
      <c r="A106" s="1461"/>
      <c r="B106" s="1462"/>
      <c r="C106" s="1595"/>
      <c r="D106" s="1593"/>
      <c r="E106" s="1524"/>
      <c r="F106" s="1294">
        <v>752.7</v>
      </c>
      <c r="G106" s="1308">
        <v>0.1</v>
      </c>
      <c r="H106" s="1337">
        <v>-0.88</v>
      </c>
      <c r="I106" s="1324">
        <v>8.6999999999999994E-2</v>
      </c>
      <c r="J106" s="1602">
        <v>1.96</v>
      </c>
      <c r="K106" s="1466">
        <v>42586</v>
      </c>
      <c r="L106" s="1468" t="s">
        <v>439</v>
      </c>
      <c r="M106" s="499"/>
      <c r="N106" s="482"/>
      <c r="O106" s="577"/>
      <c r="P106" s="390"/>
      <c r="Q106" s="424"/>
      <c r="R106" s="425"/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390"/>
      <c r="AV106" s="390"/>
      <c r="AW106" s="390"/>
      <c r="AX106" s="390"/>
      <c r="AY106" s="390"/>
      <c r="AZ106" s="390"/>
      <c r="BA106" s="390"/>
      <c r="BB106" s="390"/>
      <c r="BC106" s="390"/>
      <c r="BD106" s="390"/>
      <c r="BE106" s="390"/>
      <c r="BF106" s="390"/>
    </row>
    <row r="107" spans="1:58" ht="30" customHeight="1" thickBot="1" x14ac:dyDescent="0.25">
      <c r="A107" s="1599"/>
      <c r="B107" s="1600"/>
      <c r="C107" s="1596"/>
      <c r="D107" s="1597"/>
      <c r="E107" s="1525"/>
      <c r="F107" s="1305">
        <v>799.1</v>
      </c>
      <c r="G107" s="1306">
        <v>0.1</v>
      </c>
      <c r="H107" s="1306">
        <v>-0.73</v>
      </c>
      <c r="I107" s="1326">
        <v>0.11</v>
      </c>
      <c r="J107" s="1603">
        <v>2</v>
      </c>
      <c r="K107" s="1531">
        <v>42625</v>
      </c>
      <c r="L107" s="1605" t="s">
        <v>440</v>
      </c>
      <c r="M107" s="499"/>
      <c r="N107" s="482"/>
      <c r="O107" s="577"/>
      <c r="P107" s="390"/>
      <c r="Q107" s="424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390"/>
      <c r="AV107" s="390"/>
      <c r="AW107" s="390"/>
      <c r="AX107" s="390"/>
      <c r="AY107" s="390"/>
      <c r="AZ107" s="390"/>
      <c r="BA107" s="390"/>
      <c r="BB107" s="390"/>
      <c r="BC107" s="390"/>
      <c r="BD107" s="390"/>
      <c r="BE107" s="390"/>
      <c r="BF107" s="390"/>
    </row>
    <row r="108" spans="1:58" ht="30" customHeight="1" thickBot="1" x14ac:dyDescent="0.25">
      <c r="A108" s="460"/>
      <c r="B108" s="390"/>
      <c r="C108" s="405"/>
      <c r="D108" s="405"/>
      <c r="E108" s="405"/>
      <c r="F108" s="405"/>
      <c r="G108" s="405"/>
      <c r="H108" s="405"/>
      <c r="I108" s="405"/>
      <c r="J108" s="405"/>
      <c r="K108" s="527"/>
      <c r="L108" s="405"/>
      <c r="M108" s="499"/>
      <c r="N108" s="482"/>
      <c r="O108" s="577"/>
      <c r="P108" s="1452" t="s">
        <v>536</v>
      </c>
      <c r="Q108" s="1453"/>
      <c r="R108" s="1453"/>
      <c r="S108" s="1454"/>
      <c r="T108" s="425"/>
      <c r="U108" s="1618" t="s">
        <v>537</v>
      </c>
      <c r="V108" s="1619"/>
      <c r="W108" s="425"/>
      <c r="X108" s="425"/>
      <c r="Y108" s="425"/>
      <c r="Z108" s="425"/>
      <c r="AA108" s="425"/>
      <c r="AB108" s="425"/>
      <c r="AC108" s="425"/>
      <c r="AD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0"/>
      <c r="BF108" s="390"/>
    </row>
    <row r="109" spans="1:58" ht="30" customHeight="1" thickBot="1" x14ac:dyDescent="0.25">
      <c r="A109" s="460"/>
      <c r="B109" s="1508" t="s">
        <v>361</v>
      </c>
      <c r="C109" s="1509"/>
      <c r="D109" s="1509"/>
      <c r="E109" s="1509"/>
      <c r="F109" s="1509"/>
      <c r="G109" s="1509"/>
      <c r="H109" s="1509"/>
      <c r="I109" s="1509"/>
      <c r="J109" s="1509"/>
      <c r="K109" s="1509"/>
      <c r="L109" s="1510"/>
      <c r="M109" s="499"/>
      <c r="N109" s="482"/>
      <c r="O109" s="577"/>
      <c r="P109" s="1556" t="s">
        <v>401</v>
      </c>
      <c r="Q109" s="1557"/>
      <c r="R109" s="1557"/>
      <c r="S109" s="1558"/>
      <c r="T109" s="425"/>
      <c r="U109" s="818"/>
      <c r="V109" s="819"/>
      <c r="W109" s="425"/>
      <c r="X109" s="425"/>
      <c r="Y109" s="425"/>
      <c r="Z109" s="425"/>
      <c r="AA109" s="425"/>
      <c r="AB109" s="425"/>
      <c r="AC109" s="425"/>
      <c r="AD109" s="390"/>
      <c r="AV109" s="390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</row>
    <row r="110" spans="1:58" ht="60" customHeight="1" thickBot="1" x14ac:dyDescent="0.25">
      <c r="A110" s="460"/>
      <c r="B110" s="1562" t="s">
        <v>199</v>
      </c>
      <c r="C110" s="526"/>
      <c r="D110" s="623" t="s">
        <v>43</v>
      </c>
      <c r="E110" s="623" t="s">
        <v>284</v>
      </c>
      <c r="F110" s="625" t="s">
        <v>283</v>
      </c>
      <c r="G110" s="625" t="s">
        <v>187</v>
      </c>
      <c r="H110" s="625" t="s">
        <v>246</v>
      </c>
      <c r="I110" s="625" t="s">
        <v>185</v>
      </c>
      <c r="J110" s="625" t="s">
        <v>247</v>
      </c>
      <c r="K110" s="626" t="s">
        <v>186</v>
      </c>
      <c r="L110" s="627" t="s">
        <v>549</v>
      </c>
      <c r="M110" s="499"/>
      <c r="N110" s="482"/>
      <c r="O110" s="577"/>
      <c r="P110" s="947" t="s">
        <v>248</v>
      </c>
      <c r="Q110" s="948" t="s">
        <v>538</v>
      </c>
      <c r="R110" s="949" t="s">
        <v>271</v>
      </c>
      <c r="S110" s="950" t="s">
        <v>4</v>
      </c>
      <c r="T110" s="425"/>
      <c r="U110" s="1616" t="s">
        <v>250</v>
      </c>
      <c r="V110" s="1617"/>
      <c r="W110" s="425"/>
      <c r="X110" s="425"/>
      <c r="Y110" s="425"/>
      <c r="Z110" s="425"/>
      <c r="AA110" s="425"/>
      <c r="AB110" s="425"/>
      <c r="AC110" s="425"/>
      <c r="AD110" s="390"/>
      <c r="AV110" s="390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</row>
    <row r="111" spans="1:58" ht="30" customHeight="1" thickBot="1" x14ac:dyDescent="0.25">
      <c r="A111" s="460"/>
      <c r="B111" s="1563"/>
      <c r="C111" s="528"/>
      <c r="D111" s="452"/>
      <c r="E111" s="528"/>
      <c r="F111" s="528"/>
      <c r="G111" s="528"/>
      <c r="H111" s="528"/>
      <c r="I111" s="528"/>
      <c r="J111" s="528"/>
      <c r="K111" s="621"/>
      <c r="L111" s="645"/>
      <c r="M111" s="499"/>
      <c r="N111" s="482"/>
      <c r="O111" s="577"/>
      <c r="P111" s="418"/>
      <c r="Q111" s="1121"/>
      <c r="R111" s="1121"/>
      <c r="S111" s="498"/>
      <c r="T111" s="425"/>
      <c r="U111" s="945" t="s">
        <v>487</v>
      </c>
      <c r="V111" s="946"/>
      <c r="AA111" s="425"/>
      <c r="AB111" s="425"/>
      <c r="AC111" s="425"/>
      <c r="AD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</row>
    <row r="112" spans="1:58" ht="30" customHeight="1" x14ac:dyDescent="0.2">
      <c r="A112" s="460"/>
      <c r="B112" s="1563"/>
      <c r="C112" s="899" t="s">
        <v>233</v>
      </c>
      <c r="D112" s="900" t="s">
        <v>482</v>
      </c>
      <c r="E112" s="900" t="s">
        <v>482</v>
      </c>
      <c r="F112" s="900" t="s">
        <v>482</v>
      </c>
      <c r="G112" s="900" t="s">
        <v>482</v>
      </c>
      <c r="H112" s="900" t="s">
        <v>482</v>
      </c>
      <c r="I112" s="900" t="s">
        <v>482</v>
      </c>
      <c r="J112" s="900" t="s">
        <v>482</v>
      </c>
      <c r="K112" s="900" t="s">
        <v>482</v>
      </c>
      <c r="L112" s="901" t="s">
        <v>482</v>
      </c>
      <c r="M112" s="499"/>
      <c r="N112" s="482"/>
      <c r="O112" s="577"/>
      <c r="P112" s="838" t="s">
        <v>404</v>
      </c>
      <c r="Q112" s="836">
        <v>0.25</v>
      </c>
      <c r="R112" s="836">
        <v>80</v>
      </c>
      <c r="S112" s="943">
        <f>S113/2</f>
        <v>4.0967649999999995</v>
      </c>
      <c r="T112" s="425"/>
      <c r="U112" s="838">
        <v>316</v>
      </c>
      <c r="V112" s="935">
        <v>4.7700000000000001E-5</v>
      </c>
      <c r="AA112" s="425"/>
      <c r="AB112" s="425"/>
      <c r="AC112" s="425"/>
      <c r="AD112" s="390"/>
      <c r="AV112" s="390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</row>
    <row r="113" spans="1:58" ht="30" customHeight="1" x14ac:dyDescent="0.2">
      <c r="A113" s="460"/>
      <c r="B113" s="1563"/>
      <c r="C113" s="838" t="s">
        <v>234</v>
      </c>
      <c r="D113" s="902" t="s">
        <v>290</v>
      </c>
      <c r="E113" s="903">
        <v>27760</v>
      </c>
      <c r="F113" s="902">
        <v>5.0199999999999996</v>
      </c>
      <c r="G113" s="902">
        <v>0.05</v>
      </c>
      <c r="H113" s="902">
        <v>0.02</v>
      </c>
      <c r="I113" s="902">
        <v>3.7999999999999999E-2</v>
      </c>
      <c r="J113" s="904">
        <v>2</v>
      </c>
      <c r="K113" s="905">
        <v>43027</v>
      </c>
      <c r="L113" s="996" t="s">
        <v>382</v>
      </c>
      <c r="M113" s="499"/>
      <c r="N113" s="482"/>
      <c r="O113" s="577"/>
      <c r="P113" s="838" t="s">
        <v>405</v>
      </c>
      <c r="Q113" s="836">
        <v>0.5</v>
      </c>
      <c r="R113" s="836">
        <v>40</v>
      </c>
      <c r="S113" s="943">
        <f>S114/2</f>
        <v>8.1935299999999991</v>
      </c>
      <c r="T113" s="425"/>
      <c r="U113" s="838">
        <v>304</v>
      </c>
      <c r="V113" s="935">
        <v>5.1799999999999999E-5</v>
      </c>
      <c r="AA113" s="425"/>
      <c r="AB113" s="425"/>
      <c r="AC113" s="425"/>
      <c r="AD113" s="390"/>
      <c r="AV113" s="390"/>
      <c r="AW113" s="390"/>
      <c r="AX113" s="390"/>
      <c r="AY113" s="390"/>
      <c r="AZ113" s="390"/>
      <c r="BA113" s="390"/>
      <c r="BB113" s="390"/>
      <c r="BC113" s="390"/>
      <c r="BD113" s="390"/>
      <c r="BE113" s="390"/>
      <c r="BF113" s="390"/>
    </row>
    <row r="114" spans="1:58" ht="30" customHeight="1" x14ac:dyDescent="0.2">
      <c r="A114" s="460"/>
      <c r="B114" s="1563"/>
      <c r="C114" s="838" t="s">
        <v>235</v>
      </c>
      <c r="D114" s="902" t="s">
        <v>482</v>
      </c>
      <c r="E114" s="903" t="s">
        <v>482</v>
      </c>
      <c r="F114" s="903" t="s">
        <v>482</v>
      </c>
      <c r="G114" s="903" t="s">
        <v>482</v>
      </c>
      <c r="H114" s="903" t="s">
        <v>482</v>
      </c>
      <c r="I114" s="903" t="s">
        <v>482</v>
      </c>
      <c r="J114" s="903" t="s">
        <v>482</v>
      </c>
      <c r="K114" s="905" t="s">
        <v>482</v>
      </c>
      <c r="L114" s="996" t="s">
        <v>482</v>
      </c>
      <c r="M114" s="499"/>
      <c r="N114" s="482"/>
      <c r="O114" s="577"/>
      <c r="P114" s="838" t="s">
        <v>407</v>
      </c>
      <c r="Q114" s="836">
        <v>1</v>
      </c>
      <c r="R114" s="836">
        <v>20</v>
      </c>
      <c r="S114" s="943">
        <f>'RT03-F33'!L30</f>
        <v>16.387059999999998</v>
      </c>
      <c r="T114" s="425"/>
      <c r="U114" s="838"/>
      <c r="V114" s="935"/>
      <c r="AA114" s="425"/>
      <c r="AB114" s="425"/>
      <c r="AC114" s="425"/>
      <c r="AD114" s="390"/>
      <c r="AV114" s="390"/>
      <c r="AW114" s="390"/>
      <c r="AX114" s="390"/>
      <c r="AY114" s="390"/>
      <c r="AZ114" s="390"/>
      <c r="BA114" s="390"/>
      <c r="BB114" s="390"/>
      <c r="BC114" s="390"/>
      <c r="BD114" s="390"/>
      <c r="BE114" s="390"/>
      <c r="BF114" s="390"/>
    </row>
    <row r="115" spans="1:58" ht="30" customHeight="1" thickBot="1" x14ac:dyDescent="0.25">
      <c r="A115" s="460"/>
      <c r="B115" s="1563"/>
      <c r="C115" s="838" t="s">
        <v>236</v>
      </c>
      <c r="D115" s="902" t="s">
        <v>290</v>
      </c>
      <c r="E115" s="903">
        <v>27761</v>
      </c>
      <c r="F115" s="902">
        <v>10.02</v>
      </c>
      <c r="G115" s="902">
        <v>0.1</v>
      </c>
      <c r="H115" s="902">
        <v>0.02</v>
      </c>
      <c r="I115" s="902">
        <v>6.7000000000000004E-2</v>
      </c>
      <c r="J115" s="904">
        <v>2</v>
      </c>
      <c r="K115" s="905">
        <v>43020</v>
      </c>
      <c r="L115" s="996" t="s">
        <v>383</v>
      </c>
      <c r="M115" s="499"/>
      <c r="N115" s="482"/>
      <c r="O115" s="577"/>
      <c r="P115" s="933" t="s">
        <v>400</v>
      </c>
      <c r="Q115" s="888">
        <v>5</v>
      </c>
      <c r="R115" s="888">
        <v>40</v>
      </c>
      <c r="S115" s="944">
        <f>('RT03-F33'!M30*0.05)/100</f>
        <v>9.4635274999999996</v>
      </c>
      <c r="T115" s="425"/>
      <c r="U115" s="863"/>
      <c r="V115" s="940"/>
      <c r="AA115" s="425"/>
      <c r="AB115" s="425"/>
      <c r="AC115" s="425"/>
      <c r="AD115" s="390"/>
      <c r="AV115" s="390"/>
      <c r="AW115" s="390"/>
      <c r="AX115" s="390"/>
      <c r="AY115" s="390"/>
      <c r="AZ115" s="390"/>
      <c r="BA115" s="390"/>
      <c r="BB115" s="390"/>
      <c r="BC115" s="390"/>
      <c r="BD115" s="390"/>
      <c r="BE115" s="390"/>
      <c r="BF115" s="390"/>
    </row>
    <row r="116" spans="1:58" ht="30" customHeight="1" thickBot="1" x14ac:dyDescent="0.25">
      <c r="A116" s="460"/>
      <c r="B116" s="1564"/>
      <c r="C116" s="863" t="s">
        <v>237</v>
      </c>
      <c r="D116" s="906" t="s">
        <v>290</v>
      </c>
      <c r="E116" s="907">
        <v>27762</v>
      </c>
      <c r="F116" s="906">
        <v>24.9</v>
      </c>
      <c r="G116" s="906">
        <v>0.1</v>
      </c>
      <c r="H116" s="906">
        <v>-0.1</v>
      </c>
      <c r="I116" s="906">
        <v>6.5000000000000002E-2</v>
      </c>
      <c r="J116" s="908">
        <v>2</v>
      </c>
      <c r="K116" s="909">
        <v>43025</v>
      </c>
      <c r="L116" s="997" t="s">
        <v>384</v>
      </c>
      <c r="M116" s="499"/>
      <c r="N116" s="482"/>
      <c r="O116" s="577"/>
      <c r="T116" s="425"/>
      <c r="U116" s="425"/>
      <c r="V116" s="425"/>
      <c r="AA116" s="425"/>
      <c r="AB116" s="425"/>
      <c r="AC116" s="425"/>
      <c r="AD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</row>
    <row r="117" spans="1:58" ht="30" customHeight="1" thickBot="1" x14ac:dyDescent="0.25">
      <c r="A117" s="460"/>
      <c r="B117" s="390"/>
      <c r="C117" s="405"/>
      <c r="D117" s="405"/>
      <c r="E117" s="405"/>
      <c r="F117" s="405"/>
      <c r="G117" s="405"/>
      <c r="H117" s="405"/>
      <c r="I117" s="405"/>
      <c r="J117" s="405"/>
      <c r="K117" s="527"/>
      <c r="L117" s="405"/>
      <c r="M117" s="499"/>
      <c r="N117" s="482"/>
      <c r="O117" s="577"/>
      <c r="T117" s="425"/>
      <c r="U117" s="425"/>
      <c r="V117" s="425"/>
      <c r="AA117" s="425"/>
      <c r="AB117" s="425"/>
      <c r="AC117" s="425"/>
      <c r="AD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</row>
    <row r="118" spans="1:58" ht="30" customHeight="1" thickBot="1" x14ac:dyDescent="0.25">
      <c r="A118" s="460"/>
      <c r="B118" s="1508" t="s">
        <v>361</v>
      </c>
      <c r="C118" s="1509"/>
      <c r="D118" s="1509"/>
      <c r="E118" s="1509"/>
      <c r="F118" s="1509"/>
      <c r="G118" s="1509"/>
      <c r="H118" s="1509"/>
      <c r="I118" s="1509"/>
      <c r="J118" s="1509"/>
      <c r="K118" s="1509"/>
      <c r="L118" s="1510"/>
      <c r="M118" s="499"/>
      <c r="N118" s="482"/>
      <c r="O118" s="1559" t="s">
        <v>539</v>
      </c>
      <c r="P118" s="1560"/>
      <c r="Q118" s="1560"/>
      <c r="R118" s="1561"/>
      <c r="AA118" s="425"/>
      <c r="AB118" s="425"/>
      <c r="AC118" s="425"/>
      <c r="AD118" s="390"/>
      <c r="AV118" s="390"/>
      <c r="AW118" s="390"/>
      <c r="AX118" s="390"/>
      <c r="AY118" s="390"/>
      <c r="AZ118" s="390"/>
      <c r="BA118" s="390"/>
      <c r="BB118" s="390"/>
      <c r="BC118" s="390"/>
      <c r="BD118" s="390"/>
      <c r="BE118" s="390"/>
      <c r="BF118" s="390"/>
    </row>
    <row r="119" spans="1:58" ht="60" customHeight="1" thickBot="1" x14ac:dyDescent="0.25">
      <c r="A119" s="460"/>
      <c r="B119" s="1562" t="s">
        <v>200</v>
      </c>
      <c r="C119" s="526"/>
      <c r="D119" s="623" t="s">
        <v>43</v>
      </c>
      <c r="E119" s="623" t="s">
        <v>282</v>
      </c>
      <c r="F119" s="625" t="s">
        <v>283</v>
      </c>
      <c r="G119" s="625" t="s">
        <v>187</v>
      </c>
      <c r="H119" s="625" t="s">
        <v>246</v>
      </c>
      <c r="I119" s="625" t="s">
        <v>185</v>
      </c>
      <c r="J119" s="625" t="s">
        <v>247</v>
      </c>
      <c r="K119" s="626" t="s">
        <v>186</v>
      </c>
      <c r="L119" s="627" t="s">
        <v>549</v>
      </c>
      <c r="M119" s="499"/>
      <c r="N119" s="807" t="s">
        <v>248</v>
      </c>
      <c r="O119" s="1565" t="s">
        <v>273</v>
      </c>
      <c r="P119" s="1566"/>
      <c r="Q119" s="808" t="s">
        <v>540</v>
      </c>
      <c r="R119" s="808" t="s">
        <v>541</v>
      </c>
      <c r="AA119" s="425"/>
      <c r="AB119" s="425"/>
      <c r="AC119" s="425"/>
      <c r="AD119" s="390"/>
      <c r="AV119" s="390"/>
      <c r="AW119" s="390"/>
      <c r="AX119" s="390"/>
      <c r="AY119" s="390"/>
      <c r="AZ119" s="390"/>
      <c r="BA119" s="390"/>
      <c r="BB119" s="390"/>
      <c r="BC119" s="390"/>
      <c r="BD119" s="390"/>
      <c r="BE119" s="390"/>
      <c r="BF119" s="390"/>
    </row>
    <row r="120" spans="1:58" ht="30" customHeight="1" thickBot="1" x14ac:dyDescent="0.25">
      <c r="A120" s="460"/>
      <c r="B120" s="1563"/>
      <c r="C120" s="528"/>
      <c r="D120" s="549"/>
      <c r="E120" s="526"/>
      <c r="F120" s="526"/>
      <c r="G120" s="526"/>
      <c r="H120" s="526"/>
      <c r="I120" s="526"/>
      <c r="J120" s="526"/>
      <c r="K120" s="607"/>
      <c r="L120" s="481"/>
      <c r="M120" s="499"/>
      <c r="N120" s="413"/>
      <c r="O120" s="809"/>
      <c r="P120" s="487"/>
      <c r="Q120" s="487"/>
      <c r="R120" s="810"/>
      <c r="AA120" s="425"/>
      <c r="AB120" s="425"/>
      <c r="AC120" s="425"/>
      <c r="AD120" s="390"/>
      <c r="AV120" s="390"/>
      <c r="AW120" s="390"/>
      <c r="AX120" s="390"/>
      <c r="AY120" s="390"/>
      <c r="AZ120" s="390"/>
      <c r="BA120" s="390"/>
      <c r="BB120" s="390"/>
      <c r="BC120" s="390"/>
      <c r="BD120" s="390"/>
      <c r="BE120" s="390"/>
      <c r="BF120" s="390"/>
    </row>
    <row r="121" spans="1:58" ht="30" customHeight="1" x14ac:dyDescent="0.2">
      <c r="A121" s="460"/>
      <c r="B121" s="1563"/>
      <c r="C121" s="877" t="s">
        <v>238</v>
      </c>
      <c r="D121" s="910" t="s">
        <v>293</v>
      </c>
      <c r="E121" s="47" t="s">
        <v>385</v>
      </c>
      <c r="F121" s="868" t="s">
        <v>206</v>
      </c>
      <c r="G121" s="881">
        <v>1</v>
      </c>
      <c r="H121" s="868">
        <v>0.27</v>
      </c>
      <c r="I121" s="911">
        <v>0.17</v>
      </c>
      <c r="J121" s="911">
        <v>2.1</v>
      </c>
      <c r="K121" s="882">
        <v>42523</v>
      </c>
      <c r="L121" s="998" t="s">
        <v>381</v>
      </c>
      <c r="M121" s="499"/>
      <c r="N121" s="941" t="s">
        <v>238</v>
      </c>
      <c r="O121" s="913">
        <v>10</v>
      </c>
      <c r="P121" s="836">
        <v>100</v>
      </c>
      <c r="Q121" s="836">
        <v>10.3</v>
      </c>
      <c r="R121" s="935">
        <v>100.24</v>
      </c>
      <c r="AA121" s="425"/>
      <c r="AB121" s="425"/>
      <c r="AC121" s="425"/>
      <c r="AD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</row>
    <row r="122" spans="1:58" ht="30" customHeight="1" x14ac:dyDescent="0.2">
      <c r="A122" s="460"/>
      <c r="B122" s="1563"/>
      <c r="C122" s="912" t="s">
        <v>239</v>
      </c>
      <c r="D122" s="913" t="s">
        <v>290</v>
      </c>
      <c r="E122" s="39">
        <v>27755</v>
      </c>
      <c r="F122" s="836">
        <v>499.68</v>
      </c>
      <c r="G122" s="885">
        <v>5</v>
      </c>
      <c r="H122" s="836">
        <v>-0.32</v>
      </c>
      <c r="I122" s="836">
        <v>2.9</v>
      </c>
      <c r="J122" s="885">
        <v>2</v>
      </c>
      <c r="K122" s="886">
        <v>43010</v>
      </c>
      <c r="L122" s="946" t="s">
        <v>386</v>
      </c>
      <c r="M122" s="499"/>
      <c r="N122" s="941" t="s">
        <v>239</v>
      </c>
      <c r="O122" s="913">
        <v>50</v>
      </c>
      <c r="P122" s="836">
        <v>500</v>
      </c>
      <c r="Q122" s="836">
        <v>50.14</v>
      </c>
      <c r="R122" s="935">
        <v>499.68</v>
      </c>
      <c r="AA122" s="425"/>
      <c r="AB122" s="425"/>
      <c r="AC122" s="425"/>
      <c r="AD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</row>
    <row r="123" spans="1:58" ht="30" customHeight="1" x14ac:dyDescent="0.2">
      <c r="A123" s="460"/>
      <c r="B123" s="1563"/>
      <c r="C123" s="912" t="s">
        <v>240</v>
      </c>
      <c r="D123" s="914" t="s">
        <v>482</v>
      </c>
      <c r="E123" s="913" t="s">
        <v>482</v>
      </c>
      <c r="F123" s="914" t="s">
        <v>482</v>
      </c>
      <c r="G123" s="914" t="s">
        <v>482</v>
      </c>
      <c r="H123" s="914" t="s">
        <v>482</v>
      </c>
      <c r="I123" s="914" t="s">
        <v>482</v>
      </c>
      <c r="J123" s="914" t="s">
        <v>482</v>
      </c>
      <c r="K123" s="914" t="s">
        <v>482</v>
      </c>
      <c r="L123" s="914" t="s">
        <v>482</v>
      </c>
      <c r="M123" s="499"/>
      <c r="N123" s="941" t="s">
        <v>240</v>
      </c>
      <c r="O123" s="914" t="s">
        <v>482</v>
      </c>
      <c r="P123" s="914" t="s">
        <v>482</v>
      </c>
      <c r="Q123" s="914" t="s">
        <v>482</v>
      </c>
      <c r="R123" s="938" t="s">
        <v>482</v>
      </c>
      <c r="AA123" s="425"/>
      <c r="AB123" s="425"/>
      <c r="AC123" s="425"/>
      <c r="AD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</row>
    <row r="124" spans="1:58" ht="30" customHeight="1" x14ac:dyDescent="0.2">
      <c r="A124" s="460"/>
      <c r="B124" s="1563"/>
      <c r="C124" s="912" t="s">
        <v>241</v>
      </c>
      <c r="D124" s="913" t="s">
        <v>290</v>
      </c>
      <c r="E124" s="836">
        <v>27757</v>
      </c>
      <c r="F124" s="836">
        <v>500.46</v>
      </c>
      <c r="G124" s="885">
        <v>5</v>
      </c>
      <c r="H124" s="836">
        <v>0.46</v>
      </c>
      <c r="I124" s="836">
        <v>2.9</v>
      </c>
      <c r="J124" s="885">
        <v>2</v>
      </c>
      <c r="K124" s="886">
        <v>43017</v>
      </c>
      <c r="L124" s="946" t="s">
        <v>388</v>
      </c>
      <c r="M124" s="499"/>
      <c r="N124" s="941" t="s">
        <v>241</v>
      </c>
      <c r="O124" s="913">
        <v>50</v>
      </c>
      <c r="P124" s="836">
        <v>500</v>
      </c>
      <c r="Q124" s="939">
        <v>50.7</v>
      </c>
      <c r="R124" s="935">
        <v>500.46</v>
      </c>
      <c r="AA124" s="425"/>
      <c r="AB124" s="425"/>
      <c r="AC124" s="425"/>
      <c r="AD124" s="390"/>
      <c r="AV124" s="390"/>
      <c r="AW124" s="390"/>
      <c r="AX124" s="390"/>
      <c r="AY124" s="390"/>
      <c r="AZ124" s="390"/>
      <c r="BA124" s="390"/>
      <c r="BB124" s="390"/>
      <c r="BC124" s="390"/>
      <c r="BD124" s="390"/>
      <c r="BE124" s="390"/>
      <c r="BF124" s="390"/>
    </row>
    <row r="125" spans="1:58" ht="30" customHeight="1" x14ac:dyDescent="0.2">
      <c r="A125" s="460"/>
      <c r="B125" s="1563"/>
      <c r="C125" s="912" t="s">
        <v>242</v>
      </c>
      <c r="D125" s="913" t="s">
        <v>290</v>
      </c>
      <c r="E125" s="836">
        <v>27758</v>
      </c>
      <c r="F125" s="836">
        <v>500.34800000000001</v>
      </c>
      <c r="G125" s="885">
        <v>5</v>
      </c>
      <c r="H125" s="836">
        <v>0.34799999999999998</v>
      </c>
      <c r="I125" s="836">
        <v>3.5000000000000003E-2</v>
      </c>
      <c r="J125" s="836">
        <v>2</v>
      </c>
      <c r="K125" s="886">
        <v>42769</v>
      </c>
      <c r="L125" s="946" t="s">
        <v>389</v>
      </c>
      <c r="M125" s="499"/>
      <c r="N125" s="941" t="s">
        <v>242</v>
      </c>
      <c r="O125" s="913">
        <v>100</v>
      </c>
      <c r="P125" s="836">
        <v>500</v>
      </c>
      <c r="Q125" s="836">
        <v>100.286</v>
      </c>
      <c r="R125" s="935">
        <v>500.34800000000001</v>
      </c>
      <c r="AA125" s="425"/>
      <c r="AB125" s="425"/>
      <c r="AC125" s="425"/>
      <c r="AD125" s="390"/>
      <c r="AV125" s="390"/>
      <c r="AW125" s="390"/>
      <c r="AX125" s="390"/>
      <c r="AY125" s="390"/>
      <c r="AZ125" s="390"/>
      <c r="BA125" s="390"/>
      <c r="BB125" s="390"/>
      <c r="BC125" s="390"/>
      <c r="BD125" s="390"/>
      <c r="BE125" s="390"/>
      <c r="BF125" s="390"/>
    </row>
    <row r="126" spans="1:58" ht="30" customHeight="1" thickBot="1" x14ac:dyDescent="0.25">
      <c r="A126" s="460"/>
      <c r="B126" s="1564"/>
      <c r="C126" s="915" t="s">
        <v>243</v>
      </c>
      <c r="D126" s="916" t="s">
        <v>290</v>
      </c>
      <c r="E126" s="888">
        <v>27759</v>
      </c>
      <c r="F126" s="888">
        <v>1000.625</v>
      </c>
      <c r="G126" s="917">
        <v>10</v>
      </c>
      <c r="H126" s="888">
        <v>0.625</v>
      </c>
      <c r="I126" s="888">
        <v>3.9E-2</v>
      </c>
      <c r="J126" s="888">
        <v>2</v>
      </c>
      <c r="K126" s="918">
        <v>42769</v>
      </c>
      <c r="L126" s="876" t="s">
        <v>390</v>
      </c>
      <c r="M126" s="499"/>
      <c r="N126" s="942" t="s">
        <v>243</v>
      </c>
      <c r="O126" s="916">
        <v>200</v>
      </c>
      <c r="P126" s="888">
        <v>1000</v>
      </c>
      <c r="Q126" s="888">
        <v>201.202</v>
      </c>
      <c r="R126" s="940">
        <v>1000.625</v>
      </c>
      <c r="AA126" s="425"/>
      <c r="AB126" s="425"/>
      <c r="AC126" s="425"/>
      <c r="AD126" s="390"/>
      <c r="AV126" s="390"/>
      <c r="AW126" s="390"/>
      <c r="AX126" s="390"/>
      <c r="AY126" s="390"/>
      <c r="AZ126" s="390"/>
      <c r="BA126" s="390"/>
      <c r="BB126" s="390"/>
      <c r="BC126" s="390"/>
      <c r="BD126" s="390"/>
      <c r="BE126" s="390"/>
      <c r="BF126" s="390"/>
    </row>
    <row r="127" spans="1:58" ht="30" customHeight="1" thickBot="1" x14ac:dyDescent="0.25">
      <c r="A127" s="460"/>
      <c r="B127" s="390"/>
      <c r="C127" s="405"/>
      <c r="D127" s="405"/>
      <c r="E127" s="405"/>
      <c r="F127" s="405"/>
      <c r="G127" s="405"/>
      <c r="H127" s="405"/>
      <c r="I127" s="405"/>
      <c r="J127" s="405"/>
      <c r="K127" s="527"/>
      <c r="L127" s="405"/>
      <c r="M127" s="499"/>
      <c r="N127" s="482"/>
      <c r="AA127" s="425"/>
      <c r="AB127" s="425"/>
      <c r="AC127" s="425"/>
      <c r="AD127" s="390"/>
      <c r="AV127" s="390"/>
      <c r="AW127" s="390"/>
      <c r="AX127" s="390"/>
      <c r="AY127" s="390"/>
      <c r="AZ127" s="390"/>
      <c r="BA127" s="390"/>
      <c r="BB127" s="390"/>
      <c r="BC127" s="390"/>
      <c r="BD127" s="390"/>
      <c r="BE127" s="390"/>
      <c r="BF127" s="390"/>
    </row>
    <row r="128" spans="1:58" ht="30" customHeight="1" thickBot="1" x14ac:dyDescent="0.25">
      <c r="A128" s="460"/>
      <c r="B128" s="1508" t="s">
        <v>212</v>
      </c>
      <c r="C128" s="1509"/>
      <c r="D128" s="1509"/>
      <c r="E128" s="1509"/>
      <c r="F128" s="1509"/>
      <c r="G128" s="1509"/>
      <c r="H128" s="1509"/>
      <c r="I128" s="1509"/>
      <c r="J128" s="1509"/>
      <c r="K128" s="1509"/>
      <c r="L128" s="1510"/>
      <c r="M128" s="499"/>
      <c r="N128" s="482"/>
      <c r="O128" s="577"/>
      <c r="T128" s="425"/>
      <c r="U128" s="425"/>
      <c r="V128" s="425"/>
      <c r="AA128" s="425"/>
      <c r="AB128" s="425"/>
      <c r="AC128" s="425"/>
      <c r="AD128" s="390"/>
      <c r="AV128" s="390"/>
      <c r="AW128" s="390"/>
      <c r="AX128" s="390"/>
      <c r="AY128" s="390"/>
      <c r="AZ128" s="390"/>
      <c r="BA128" s="390"/>
      <c r="BB128" s="390"/>
      <c r="BC128" s="390"/>
      <c r="BD128" s="390"/>
      <c r="BE128" s="390"/>
      <c r="BF128" s="390"/>
    </row>
    <row r="129" spans="1:58" ht="60" customHeight="1" thickBot="1" x14ac:dyDescent="0.25">
      <c r="A129" s="460"/>
      <c r="B129" s="1502" t="s">
        <v>542</v>
      </c>
      <c r="C129" s="528"/>
      <c r="D129" s="559" t="s">
        <v>43</v>
      </c>
      <c r="E129" s="560" t="s">
        <v>284</v>
      </c>
      <c r="F129" s="559" t="s">
        <v>283</v>
      </c>
      <c r="G129" s="559" t="s">
        <v>187</v>
      </c>
      <c r="H129" s="559" t="s">
        <v>246</v>
      </c>
      <c r="I129" s="559" t="s">
        <v>185</v>
      </c>
      <c r="J129" s="559" t="s">
        <v>247</v>
      </c>
      <c r="K129" s="561" t="s">
        <v>186</v>
      </c>
      <c r="L129" s="505" t="s">
        <v>549</v>
      </c>
      <c r="M129" s="499"/>
      <c r="N129" s="482"/>
      <c r="O129" s="577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390"/>
      <c r="AV129" s="390"/>
      <c r="AW129" s="390"/>
      <c r="AX129" s="390"/>
      <c r="AY129" s="390"/>
      <c r="AZ129" s="390"/>
      <c r="BA129" s="390"/>
      <c r="BB129" s="390"/>
      <c r="BC129" s="390"/>
      <c r="BD129" s="390"/>
      <c r="BE129" s="390"/>
      <c r="BF129" s="390"/>
    </row>
    <row r="130" spans="1:58" ht="30" customHeight="1" thickBot="1" x14ac:dyDescent="0.25">
      <c r="A130" s="460"/>
      <c r="B130" s="1535"/>
      <c r="C130" s="611"/>
      <c r="D130" s="612"/>
      <c r="E130" s="532"/>
      <c r="F130" s="532"/>
      <c r="G130" s="532"/>
      <c r="H130" s="532"/>
      <c r="I130" s="532"/>
      <c r="J130" s="532"/>
      <c r="K130" s="533"/>
      <c r="L130" s="552"/>
      <c r="M130" s="499"/>
      <c r="N130" s="482"/>
      <c r="O130" s="577"/>
      <c r="P130" s="390"/>
      <c r="Q130" s="424"/>
      <c r="R130" s="425"/>
      <c r="S130" s="425"/>
      <c r="T130" s="425"/>
      <c r="U130" s="425"/>
      <c r="V130" s="425"/>
      <c r="W130" s="425"/>
      <c r="X130" s="425"/>
      <c r="Y130" s="425"/>
      <c r="Z130" s="425"/>
      <c r="AA130" s="425"/>
      <c r="AB130" s="425"/>
      <c r="AC130" s="425"/>
      <c r="AD130" s="390"/>
      <c r="AV130" s="390"/>
      <c r="AW130" s="390"/>
      <c r="AX130" s="390"/>
      <c r="AY130" s="390"/>
      <c r="AZ130" s="390"/>
      <c r="BA130" s="390"/>
      <c r="BB130" s="390"/>
      <c r="BC130" s="390"/>
      <c r="BD130" s="390"/>
      <c r="BE130" s="390"/>
      <c r="BF130" s="390"/>
    </row>
    <row r="131" spans="1:58" ht="30" customHeight="1" thickBot="1" x14ac:dyDescent="0.25">
      <c r="A131" s="460"/>
      <c r="B131" s="1536"/>
      <c r="C131" s="878" t="s">
        <v>245</v>
      </c>
      <c r="D131" s="919" t="s">
        <v>295</v>
      </c>
      <c r="E131" s="920" t="s">
        <v>244</v>
      </c>
      <c r="F131" s="921">
        <v>120</v>
      </c>
      <c r="G131" s="921">
        <v>1E-4</v>
      </c>
      <c r="H131" s="921">
        <v>6.9499999999999998E-4</v>
      </c>
      <c r="I131" s="921">
        <v>1.5999999999999999E-5</v>
      </c>
      <c r="J131" s="921">
        <v>2.2999999999999998</v>
      </c>
      <c r="K131" s="922">
        <v>42846</v>
      </c>
      <c r="L131" s="999" t="s">
        <v>391</v>
      </c>
      <c r="M131" s="499"/>
      <c r="N131" s="482"/>
      <c r="O131" s="577"/>
      <c r="P131" s="390"/>
      <c r="Q131" s="424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390"/>
      <c r="AV131" s="390"/>
      <c r="AW131" s="390"/>
      <c r="AX131" s="390"/>
      <c r="AY131" s="390"/>
      <c r="AZ131" s="390"/>
      <c r="BA131" s="390"/>
      <c r="BB131" s="390"/>
      <c r="BC131" s="390"/>
      <c r="BD131" s="390"/>
      <c r="BE131" s="390"/>
      <c r="BF131" s="390"/>
    </row>
    <row r="132" spans="1:58" ht="30" customHeight="1" x14ac:dyDescent="0.2">
      <c r="A132" s="460"/>
      <c r="B132" s="619"/>
      <c r="C132" s="528"/>
      <c r="D132" s="620"/>
      <c r="E132" s="528"/>
      <c r="F132" s="528"/>
      <c r="G132" s="528"/>
      <c r="H132" s="528"/>
      <c r="I132" s="528"/>
      <c r="J132" s="528"/>
      <c r="K132" s="621"/>
      <c r="L132" s="622"/>
      <c r="M132" s="499"/>
      <c r="N132" s="482"/>
      <c r="O132" s="577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25"/>
      <c r="AD132" s="390"/>
      <c r="AV132" s="390"/>
      <c r="AW132" s="390"/>
      <c r="AX132" s="390"/>
      <c r="AY132" s="390"/>
      <c r="AZ132" s="390"/>
      <c r="BA132" s="390"/>
      <c r="BB132" s="390"/>
      <c r="BC132" s="390"/>
      <c r="BD132" s="390"/>
      <c r="BE132" s="390"/>
      <c r="BF132" s="390"/>
    </row>
    <row r="133" spans="1:58" ht="30" customHeight="1" thickBot="1" x14ac:dyDescent="0.25">
      <c r="A133" s="460"/>
      <c r="B133" s="390"/>
      <c r="C133" s="405"/>
      <c r="D133" s="405"/>
      <c r="E133" s="405"/>
      <c r="F133" s="405"/>
      <c r="G133" s="405"/>
      <c r="H133" s="405"/>
      <c r="I133" s="405"/>
      <c r="J133" s="405"/>
      <c r="K133" s="527"/>
      <c r="L133" s="405"/>
      <c r="M133" s="499"/>
      <c r="N133" s="482"/>
      <c r="O133" s="577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5"/>
      <c r="AD133" s="390"/>
      <c r="AV133" s="390"/>
      <c r="AW133" s="390"/>
      <c r="AX133" s="390"/>
      <c r="AY133" s="390"/>
      <c r="AZ133" s="390"/>
      <c r="BA133" s="390"/>
      <c r="BB133" s="390"/>
      <c r="BC133" s="390"/>
      <c r="BD133" s="390"/>
      <c r="BE133" s="390"/>
      <c r="BF133" s="390"/>
    </row>
    <row r="134" spans="1:58" ht="30" customHeight="1" thickBot="1" x14ac:dyDescent="0.25">
      <c r="A134" s="460"/>
      <c r="B134" s="1508" t="s">
        <v>211</v>
      </c>
      <c r="C134" s="1509"/>
      <c r="D134" s="1509"/>
      <c r="E134" s="1509"/>
      <c r="F134" s="1509"/>
      <c r="G134" s="1509"/>
      <c r="H134" s="1509"/>
      <c r="I134" s="1509"/>
      <c r="J134" s="1509"/>
      <c r="K134" s="1509"/>
      <c r="L134" s="1510"/>
      <c r="M134" s="499"/>
      <c r="N134" s="482"/>
      <c r="O134" s="577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25"/>
      <c r="AD134" s="390"/>
      <c r="AV134" s="390"/>
      <c r="AW134" s="390"/>
      <c r="AX134" s="390"/>
      <c r="AY134" s="390"/>
      <c r="AZ134" s="390"/>
      <c r="BA134" s="390"/>
      <c r="BB134" s="390"/>
      <c r="BC134" s="390"/>
      <c r="BD134" s="390"/>
      <c r="BE134" s="390"/>
      <c r="BF134" s="390"/>
    </row>
    <row r="135" spans="1:58" ht="60" customHeight="1" thickBot="1" x14ac:dyDescent="0.25">
      <c r="A135" s="460"/>
      <c r="B135" s="390"/>
      <c r="C135" s="528"/>
      <c r="D135" s="623" t="s">
        <v>43</v>
      </c>
      <c r="E135" s="624" t="s">
        <v>284</v>
      </c>
      <c r="F135" s="625" t="s">
        <v>285</v>
      </c>
      <c r="G135" s="625" t="s">
        <v>187</v>
      </c>
      <c r="H135" s="625" t="s">
        <v>246</v>
      </c>
      <c r="I135" s="625" t="s">
        <v>185</v>
      </c>
      <c r="J135" s="625" t="s">
        <v>247</v>
      </c>
      <c r="K135" s="626" t="s">
        <v>186</v>
      </c>
      <c r="L135" s="627" t="s">
        <v>549</v>
      </c>
      <c r="M135" s="499"/>
      <c r="N135" s="482"/>
      <c r="O135" s="577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5"/>
      <c r="AD135" s="390"/>
      <c r="AV135" s="390"/>
      <c r="AW135" s="390"/>
      <c r="AX135" s="390"/>
      <c r="AY135" s="390"/>
      <c r="AZ135" s="390"/>
      <c r="BA135" s="390"/>
      <c r="BB135" s="390"/>
      <c r="BC135" s="390"/>
      <c r="BD135" s="390"/>
      <c r="BE135" s="390"/>
      <c r="BF135" s="390"/>
    </row>
    <row r="136" spans="1:58" ht="30" customHeight="1" thickBot="1" x14ac:dyDescent="0.25">
      <c r="A136" s="460"/>
      <c r="B136" s="390"/>
      <c r="C136" s="528"/>
      <c r="D136" s="606"/>
      <c r="E136" s="526"/>
      <c r="F136" s="526"/>
      <c r="G136" s="526"/>
      <c r="H136" s="526"/>
      <c r="I136" s="526"/>
      <c r="J136" s="526"/>
      <c r="K136" s="607"/>
      <c r="L136" s="481"/>
      <c r="M136" s="499"/>
      <c r="N136" s="482"/>
      <c r="O136" s="577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390"/>
      <c r="AV136" s="390"/>
      <c r="AW136" s="390"/>
      <c r="AX136" s="390"/>
      <c r="AY136" s="390"/>
      <c r="AZ136" s="390"/>
      <c r="BA136" s="390"/>
      <c r="BB136" s="390"/>
      <c r="BC136" s="390"/>
      <c r="BD136" s="390"/>
      <c r="BE136" s="390"/>
      <c r="BF136" s="390"/>
    </row>
    <row r="137" spans="1:58" ht="30" customHeight="1" x14ac:dyDescent="0.2">
      <c r="A137" s="460"/>
      <c r="B137" s="1505" t="s">
        <v>208</v>
      </c>
      <c r="C137" s="899" t="s">
        <v>392</v>
      </c>
      <c r="D137" s="1511" t="s">
        <v>294</v>
      </c>
      <c r="E137" s="47">
        <v>16901291</v>
      </c>
      <c r="F137" s="47">
        <v>4.9800000000000004</v>
      </c>
      <c r="G137" s="47">
        <v>0.01</v>
      </c>
      <c r="H137" s="869">
        <v>-2E-3</v>
      </c>
      <c r="I137" s="869">
        <v>1E-3</v>
      </c>
      <c r="J137" s="1000">
        <v>2</v>
      </c>
      <c r="K137" s="882">
        <v>43133</v>
      </c>
      <c r="L137" s="923" t="s">
        <v>394</v>
      </c>
      <c r="M137" s="499"/>
      <c r="N137" s="482"/>
      <c r="O137" s="577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5"/>
      <c r="AD137" s="390"/>
      <c r="AV137" s="390"/>
      <c r="AW137" s="390"/>
      <c r="AX137" s="390"/>
      <c r="AY137" s="390"/>
      <c r="AZ137" s="390"/>
      <c r="BA137" s="390"/>
      <c r="BB137" s="390"/>
      <c r="BC137" s="390"/>
      <c r="BD137" s="390"/>
      <c r="BE137" s="390"/>
      <c r="BF137" s="390"/>
    </row>
    <row r="138" spans="1:58" ht="30" customHeight="1" x14ac:dyDescent="0.2">
      <c r="A138" s="460"/>
      <c r="B138" s="1506"/>
      <c r="C138" s="838" t="s">
        <v>350</v>
      </c>
      <c r="D138" s="1512"/>
      <c r="E138" s="39">
        <v>16901291</v>
      </c>
      <c r="F138" s="39">
        <v>21.49</v>
      </c>
      <c r="G138" s="39">
        <v>0.01</v>
      </c>
      <c r="H138" s="139">
        <v>-1E-3</v>
      </c>
      <c r="I138" s="139">
        <v>1E-3</v>
      </c>
      <c r="J138" s="145">
        <v>2</v>
      </c>
      <c r="K138" s="886">
        <v>43133</v>
      </c>
      <c r="L138" s="924" t="s">
        <v>394</v>
      </c>
      <c r="M138" s="499"/>
      <c r="N138" s="482"/>
      <c r="O138" s="577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390"/>
      <c r="AV138" s="390"/>
      <c r="AW138" s="390"/>
      <c r="AX138" s="390"/>
      <c r="AY138" s="390"/>
      <c r="AZ138" s="390"/>
      <c r="BA138" s="390"/>
      <c r="BB138" s="390"/>
      <c r="BC138" s="390"/>
      <c r="BD138" s="390"/>
      <c r="BE138" s="390"/>
      <c r="BF138" s="390"/>
    </row>
    <row r="139" spans="1:58" ht="30" customHeight="1" x14ac:dyDescent="0.2">
      <c r="A139" s="460"/>
      <c r="B139" s="1506"/>
      <c r="C139" s="838" t="s">
        <v>351</v>
      </c>
      <c r="D139" s="1512"/>
      <c r="E139" s="39">
        <v>16901291</v>
      </c>
      <c r="F139" s="164">
        <v>50</v>
      </c>
      <c r="G139" s="39">
        <v>0.01</v>
      </c>
      <c r="H139" s="164">
        <v>0</v>
      </c>
      <c r="I139" s="139">
        <v>1E-3</v>
      </c>
      <c r="J139" s="145">
        <v>2</v>
      </c>
      <c r="K139" s="886">
        <v>43133</v>
      </c>
      <c r="L139" s="924" t="s">
        <v>394</v>
      </c>
      <c r="M139" s="499"/>
      <c r="N139" s="482"/>
      <c r="O139" s="577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5"/>
      <c r="AD139" s="390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</row>
    <row r="140" spans="1:58" ht="35.1" customHeight="1" x14ac:dyDescent="0.2">
      <c r="A140" s="460"/>
      <c r="B140" s="1506"/>
      <c r="C140" s="838" t="s">
        <v>393</v>
      </c>
      <c r="D140" s="1512"/>
      <c r="E140" s="39">
        <v>16901291</v>
      </c>
      <c r="F140" s="39">
        <v>71.510000000000005</v>
      </c>
      <c r="G140" s="39">
        <v>0.01</v>
      </c>
      <c r="H140" s="139">
        <v>1E-3</v>
      </c>
      <c r="I140" s="139">
        <v>1E-3</v>
      </c>
      <c r="J140" s="145">
        <v>2</v>
      </c>
      <c r="K140" s="886">
        <v>43133</v>
      </c>
      <c r="L140" s="924" t="s">
        <v>394</v>
      </c>
      <c r="M140" s="499"/>
      <c r="N140" s="482"/>
      <c r="O140" s="577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25"/>
      <c r="AD140" s="390"/>
      <c r="AV140" s="390"/>
      <c r="AW140" s="390"/>
      <c r="AX140" s="390"/>
      <c r="AY140" s="390"/>
      <c r="AZ140" s="390"/>
      <c r="BA140" s="390"/>
      <c r="BB140" s="390"/>
      <c r="BC140" s="390"/>
      <c r="BD140" s="390"/>
      <c r="BE140" s="390"/>
      <c r="BF140" s="390"/>
    </row>
    <row r="141" spans="1:58" ht="35.1" customHeight="1" x14ac:dyDescent="0.2">
      <c r="A141" s="460"/>
      <c r="B141" s="1506"/>
      <c r="C141" s="838" t="s">
        <v>352</v>
      </c>
      <c r="D141" s="1512"/>
      <c r="E141" s="39">
        <v>16901291</v>
      </c>
      <c r="F141" s="39">
        <v>100.01</v>
      </c>
      <c r="G141" s="39">
        <v>0.01</v>
      </c>
      <c r="H141" s="160">
        <v>8.0000000000000002E-3</v>
      </c>
      <c r="I141" s="139">
        <v>1E-3</v>
      </c>
      <c r="J141" s="145">
        <v>2</v>
      </c>
      <c r="K141" s="886">
        <v>43133</v>
      </c>
      <c r="L141" s="924" t="s">
        <v>394</v>
      </c>
      <c r="M141" s="499"/>
      <c r="N141" s="482"/>
      <c r="O141" s="577"/>
      <c r="P141" s="390"/>
      <c r="Q141" s="424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5"/>
      <c r="AD141" s="390"/>
      <c r="AV141" s="390"/>
      <c r="AW141" s="390"/>
      <c r="AX141" s="390"/>
      <c r="AY141" s="390"/>
      <c r="AZ141" s="390"/>
      <c r="BA141" s="390"/>
      <c r="BB141" s="390"/>
      <c r="BC141" s="390"/>
      <c r="BD141" s="390"/>
      <c r="BE141" s="390"/>
      <c r="BF141" s="390"/>
    </row>
    <row r="142" spans="1:58" ht="35.1" customHeight="1" x14ac:dyDescent="0.2">
      <c r="A142" s="460"/>
      <c r="B142" s="1506"/>
      <c r="C142" s="838" t="s">
        <v>353</v>
      </c>
      <c r="D142" s="1512"/>
      <c r="E142" s="39">
        <v>16901291</v>
      </c>
      <c r="F142" s="164">
        <v>150</v>
      </c>
      <c r="G142" s="39">
        <v>0.01</v>
      </c>
      <c r="H142" s="164">
        <v>0</v>
      </c>
      <c r="I142" s="139">
        <v>1E-3</v>
      </c>
      <c r="J142" s="145">
        <v>2</v>
      </c>
      <c r="K142" s="886">
        <v>43133</v>
      </c>
      <c r="L142" s="924" t="s">
        <v>394</v>
      </c>
      <c r="M142" s="499"/>
      <c r="N142" s="482"/>
      <c r="O142" s="577"/>
      <c r="P142" s="390"/>
      <c r="Q142" s="424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</row>
    <row r="143" spans="1:58" ht="35.1" customHeight="1" thickBot="1" x14ac:dyDescent="0.25">
      <c r="A143" s="460"/>
      <c r="B143" s="1507"/>
      <c r="C143" s="863" t="s">
        <v>354</v>
      </c>
      <c r="D143" s="1513"/>
      <c r="E143" s="43">
        <v>16901291</v>
      </c>
      <c r="F143" s="873">
        <v>200</v>
      </c>
      <c r="G143" s="43">
        <v>0.01</v>
      </c>
      <c r="H143" s="873">
        <v>0</v>
      </c>
      <c r="I143" s="875">
        <v>1E-3</v>
      </c>
      <c r="J143" s="61">
        <v>2</v>
      </c>
      <c r="K143" s="918">
        <v>43133</v>
      </c>
      <c r="L143" s="925" t="s">
        <v>394</v>
      </c>
      <c r="M143" s="499"/>
      <c r="N143" s="482"/>
      <c r="O143" s="577"/>
      <c r="Q143" s="424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5"/>
      <c r="AD143" s="390"/>
      <c r="AH143" s="390"/>
      <c r="AI143" s="528"/>
      <c r="AJ143" s="528"/>
      <c r="AK143" s="528"/>
      <c r="AL143" s="528"/>
      <c r="AM143" s="528"/>
      <c r="AN143" s="528"/>
      <c r="AO143" s="528"/>
      <c r="AP143" s="528"/>
      <c r="AQ143" s="621"/>
      <c r="AR143" s="642"/>
      <c r="AS143" s="528"/>
      <c r="AV143" s="390"/>
      <c r="AW143" s="390"/>
      <c r="AX143" s="390"/>
      <c r="AY143" s="390"/>
      <c r="AZ143" s="390"/>
      <c r="BA143" s="390"/>
      <c r="BB143" s="390"/>
      <c r="BC143" s="390"/>
      <c r="BD143" s="390"/>
      <c r="BE143" s="390"/>
      <c r="BF143" s="390"/>
    </row>
    <row r="144" spans="1:58" ht="35.1" customHeight="1" thickBot="1" x14ac:dyDescent="0.25">
      <c r="A144" s="460"/>
      <c r="B144" s="390"/>
      <c r="C144" s="611"/>
      <c r="D144" s="643"/>
      <c r="E144" s="1136"/>
      <c r="F144" s="580"/>
      <c r="G144" s="580"/>
      <c r="H144" s="644"/>
      <c r="I144" s="580"/>
      <c r="J144" s="580"/>
      <c r="K144" s="581"/>
      <c r="L144" s="645"/>
      <c r="P144" s="1452" t="s">
        <v>357</v>
      </c>
      <c r="Q144" s="1453"/>
      <c r="R144" s="1453"/>
      <c r="S144" s="1454"/>
      <c r="X144" s="642"/>
      <c r="Y144" s="642"/>
      <c r="Z144" s="642"/>
      <c r="AA144" s="642"/>
      <c r="AB144" s="642"/>
      <c r="AC144" s="390"/>
      <c r="AD144" s="390"/>
      <c r="AH144" s="390"/>
      <c r="AI144" s="390"/>
      <c r="AJ144" s="390"/>
      <c r="AK144" s="390"/>
      <c r="AL144" s="390"/>
      <c r="AM144" s="390"/>
      <c r="AN144" s="390"/>
      <c r="AO144" s="390"/>
      <c r="AP144" s="390"/>
      <c r="AQ144" s="467"/>
      <c r="AR144" s="390"/>
      <c r="AS144" s="528"/>
      <c r="AV144" s="390"/>
      <c r="AW144" s="390"/>
      <c r="AX144" s="390"/>
      <c r="AY144" s="390"/>
      <c r="AZ144" s="390"/>
      <c r="BA144" s="390"/>
      <c r="BB144" s="390"/>
      <c r="BC144" s="390"/>
      <c r="BD144" s="390"/>
      <c r="BE144" s="390"/>
      <c r="BF144" s="390"/>
    </row>
    <row r="145" spans="1:58" ht="35.1" customHeight="1" thickBot="1" x14ac:dyDescent="0.25">
      <c r="A145" s="460"/>
      <c r="B145" s="1505" t="s">
        <v>209</v>
      </c>
      <c r="C145" s="899" t="s">
        <v>392</v>
      </c>
      <c r="D145" s="1511" t="s">
        <v>294</v>
      </c>
      <c r="E145" s="47">
        <v>16901291</v>
      </c>
      <c r="F145" s="867">
        <v>5</v>
      </c>
      <c r="G145" s="47">
        <v>0.01</v>
      </c>
      <c r="H145" s="867">
        <v>0</v>
      </c>
      <c r="I145" s="869">
        <v>1E-3</v>
      </c>
      <c r="J145" s="1000">
        <v>2</v>
      </c>
      <c r="K145" s="882">
        <v>43133</v>
      </c>
      <c r="L145" s="923" t="s">
        <v>394</v>
      </c>
      <c r="M145" s="499"/>
      <c r="N145" s="482"/>
      <c r="P145" s="1430" t="s">
        <v>302</v>
      </c>
      <c r="Q145" s="1431"/>
      <c r="R145" s="1431"/>
      <c r="S145" s="1432"/>
      <c r="Z145" s="390"/>
      <c r="AA145" s="390"/>
      <c r="AB145" s="390"/>
      <c r="AC145" s="390"/>
      <c r="AD145" s="390"/>
      <c r="AH145" s="390"/>
      <c r="AI145" s="390"/>
      <c r="AJ145" s="390"/>
      <c r="AK145" s="390"/>
      <c r="AL145" s="390"/>
      <c r="AM145" s="390"/>
      <c r="AN145" s="390"/>
      <c r="AO145" s="390"/>
      <c r="AP145" s="390"/>
      <c r="AQ145" s="467"/>
      <c r="AR145" s="390"/>
      <c r="AS145" s="642"/>
      <c r="AV145" s="390"/>
      <c r="AW145" s="390"/>
      <c r="AX145" s="390"/>
      <c r="AY145" s="390"/>
      <c r="AZ145" s="390"/>
      <c r="BA145" s="390"/>
      <c r="BB145" s="390"/>
      <c r="BC145" s="390"/>
      <c r="BD145" s="390"/>
      <c r="BE145" s="390"/>
      <c r="BF145" s="390"/>
    </row>
    <row r="146" spans="1:58" ht="35.1" customHeight="1" x14ac:dyDescent="0.2">
      <c r="A146" s="460"/>
      <c r="B146" s="1506"/>
      <c r="C146" s="838" t="s">
        <v>350</v>
      </c>
      <c r="D146" s="1512"/>
      <c r="E146" s="39">
        <v>16901291</v>
      </c>
      <c r="F146" s="164">
        <v>21.51</v>
      </c>
      <c r="G146" s="39">
        <v>0.01</v>
      </c>
      <c r="H146" s="139">
        <v>1E-3</v>
      </c>
      <c r="I146" s="139">
        <v>1E-3</v>
      </c>
      <c r="J146" s="145">
        <v>2</v>
      </c>
      <c r="K146" s="886">
        <v>43133</v>
      </c>
      <c r="L146" s="924" t="s">
        <v>394</v>
      </c>
      <c r="M146" s="499"/>
      <c r="N146" s="482"/>
      <c r="P146" s="928">
        <v>18501</v>
      </c>
      <c r="Q146" s="929" t="s">
        <v>303</v>
      </c>
      <c r="R146" s="929">
        <v>19336.599999999999</v>
      </c>
      <c r="S146" s="930" t="s">
        <v>4</v>
      </c>
      <c r="T146" s="390"/>
      <c r="U146" s="390"/>
      <c r="V146" s="390"/>
      <c r="W146" s="390"/>
      <c r="X146" s="390"/>
      <c r="Y146" s="390"/>
      <c r="Z146" s="390"/>
      <c r="AA146" s="390"/>
      <c r="AB146" s="390"/>
      <c r="AC146" s="390"/>
      <c r="AD146" s="390"/>
      <c r="BD146" s="390"/>
      <c r="BE146" s="390"/>
      <c r="BF146" s="390"/>
    </row>
    <row r="147" spans="1:58" ht="35.1" customHeight="1" x14ac:dyDescent="0.2">
      <c r="A147" s="460"/>
      <c r="B147" s="1506"/>
      <c r="C147" s="838" t="s">
        <v>351</v>
      </c>
      <c r="D147" s="1512"/>
      <c r="E147" s="39">
        <v>16901291</v>
      </c>
      <c r="F147" s="164">
        <v>50.01</v>
      </c>
      <c r="G147" s="39">
        <v>0.01</v>
      </c>
      <c r="H147" s="139">
        <v>1E-3</v>
      </c>
      <c r="I147" s="139">
        <v>1E-3</v>
      </c>
      <c r="J147" s="145">
        <v>2</v>
      </c>
      <c r="K147" s="886">
        <v>43133</v>
      </c>
      <c r="L147" s="924" t="s">
        <v>394</v>
      </c>
      <c r="M147" s="499"/>
      <c r="N147" s="482"/>
      <c r="P147" s="931">
        <v>1128.29</v>
      </c>
      <c r="Q147" s="902" t="s">
        <v>303</v>
      </c>
      <c r="R147" s="902">
        <v>1179.99</v>
      </c>
      <c r="S147" s="932" t="s">
        <v>403</v>
      </c>
      <c r="T147" s="393"/>
      <c r="U147" s="393"/>
      <c r="V147" s="393"/>
      <c r="W147" s="393"/>
      <c r="X147" s="393"/>
      <c r="Y147" s="393"/>
      <c r="Z147" s="393"/>
      <c r="AA147" s="393"/>
      <c r="AB147" s="393"/>
      <c r="AV147" s="390"/>
      <c r="AW147" s="390"/>
      <c r="AX147" s="390"/>
      <c r="AY147" s="390"/>
      <c r="AZ147" s="390"/>
      <c r="BA147" s="390"/>
      <c r="BB147" s="390"/>
      <c r="BC147" s="390"/>
      <c r="BD147" s="390"/>
      <c r="BE147" s="390"/>
      <c r="BF147" s="390"/>
    </row>
    <row r="148" spans="1:58" ht="35.1" customHeight="1" thickBot="1" x14ac:dyDescent="0.25">
      <c r="A148" s="460"/>
      <c r="B148" s="1506"/>
      <c r="C148" s="838" t="s">
        <v>393</v>
      </c>
      <c r="D148" s="1512"/>
      <c r="E148" s="39">
        <v>16901291</v>
      </c>
      <c r="F148" s="164">
        <v>71.510000000000005</v>
      </c>
      <c r="G148" s="39">
        <v>0.01</v>
      </c>
      <c r="H148" s="139">
        <v>1E-3</v>
      </c>
      <c r="I148" s="139">
        <v>1E-3</v>
      </c>
      <c r="J148" s="145">
        <v>2</v>
      </c>
      <c r="K148" s="886">
        <v>43133</v>
      </c>
      <c r="L148" s="924" t="s">
        <v>394</v>
      </c>
      <c r="M148" s="499"/>
      <c r="N148" s="482"/>
      <c r="P148" s="1063">
        <v>4.8917000000000002</v>
      </c>
      <c r="Q148" s="1064" t="s">
        <v>303</v>
      </c>
      <c r="R148" s="1064">
        <v>5.1082000000000001</v>
      </c>
      <c r="S148" s="1065" t="s">
        <v>9</v>
      </c>
      <c r="T148" s="393"/>
      <c r="U148" s="393"/>
      <c r="V148" s="393"/>
      <c r="W148" s="393"/>
      <c r="X148" s="393"/>
      <c r="Y148" s="393"/>
      <c r="Z148" s="393"/>
      <c r="AA148" s="393"/>
      <c r="AB148" s="393"/>
      <c r="AV148" s="390"/>
      <c r="AW148" s="390"/>
      <c r="AX148" s="390"/>
      <c r="AY148" s="390"/>
      <c r="AZ148" s="390"/>
      <c r="BA148" s="390"/>
      <c r="BB148" s="390"/>
      <c r="BC148" s="390"/>
      <c r="BD148" s="390"/>
      <c r="BE148" s="390"/>
      <c r="BF148" s="390"/>
    </row>
    <row r="149" spans="1:58" ht="35.1" customHeight="1" thickBot="1" x14ac:dyDescent="0.25">
      <c r="A149" s="460"/>
      <c r="B149" s="1506"/>
      <c r="C149" s="838" t="s">
        <v>352</v>
      </c>
      <c r="D149" s="1512"/>
      <c r="E149" s="39">
        <v>16901291</v>
      </c>
      <c r="F149" s="164">
        <v>100.01</v>
      </c>
      <c r="G149" s="39">
        <v>0.01</v>
      </c>
      <c r="H149" s="139">
        <v>1E-3</v>
      </c>
      <c r="I149" s="139">
        <v>1E-3</v>
      </c>
      <c r="J149" s="145">
        <v>2</v>
      </c>
      <c r="K149" s="886">
        <v>43133</v>
      </c>
      <c r="L149" s="924" t="s">
        <v>394</v>
      </c>
      <c r="M149" s="499"/>
      <c r="N149" s="482"/>
      <c r="P149" s="1066" t="s">
        <v>248</v>
      </c>
      <c r="Q149" s="1067" t="s">
        <v>4</v>
      </c>
      <c r="R149" s="1067" t="s">
        <v>406</v>
      </c>
      <c r="S149" s="1067" t="s">
        <v>9</v>
      </c>
      <c r="T149" s="1078" t="s">
        <v>400</v>
      </c>
    </row>
    <row r="150" spans="1:58" ht="35.1" customHeight="1" thickBot="1" x14ac:dyDescent="0.25">
      <c r="A150" s="460"/>
      <c r="B150" s="1506"/>
      <c r="C150" s="838" t="s">
        <v>353</v>
      </c>
      <c r="D150" s="1512"/>
      <c r="E150" s="39">
        <v>16901291</v>
      </c>
      <c r="F150" s="164">
        <v>150.01</v>
      </c>
      <c r="G150" s="39">
        <v>0.01</v>
      </c>
      <c r="H150" s="139">
        <v>1E-3</v>
      </c>
      <c r="I150" s="139">
        <v>1E-3</v>
      </c>
      <c r="J150" s="145">
        <v>2</v>
      </c>
      <c r="K150" s="886">
        <v>43133</v>
      </c>
      <c r="L150" s="924" t="s">
        <v>394</v>
      </c>
      <c r="M150" s="499"/>
      <c r="N150" s="482"/>
      <c r="P150" s="562"/>
      <c r="Q150" s="1068"/>
      <c r="R150" s="1068"/>
      <c r="S150" s="1069"/>
      <c r="T150" s="1070"/>
    </row>
    <row r="151" spans="1:58" ht="35.1" customHeight="1" thickBot="1" x14ac:dyDescent="0.25">
      <c r="A151" s="460"/>
      <c r="B151" s="1507"/>
      <c r="C151" s="863" t="s">
        <v>354</v>
      </c>
      <c r="D151" s="1513"/>
      <c r="E151" s="43">
        <v>16901291</v>
      </c>
      <c r="F151" s="873">
        <v>200</v>
      </c>
      <c r="G151" s="43">
        <v>0.01</v>
      </c>
      <c r="H151" s="875">
        <v>0</v>
      </c>
      <c r="I151" s="875">
        <v>1E-3</v>
      </c>
      <c r="J151" s="61">
        <v>2</v>
      </c>
      <c r="K151" s="918">
        <v>43133</v>
      </c>
      <c r="L151" s="925" t="s">
        <v>394</v>
      </c>
      <c r="M151" s="499"/>
      <c r="N151" s="482"/>
      <c r="P151" s="1075">
        <v>1</v>
      </c>
      <c r="Q151" s="1076">
        <v>6.3</v>
      </c>
      <c r="R151" s="921">
        <v>0.38</v>
      </c>
      <c r="S151" s="921">
        <v>1.6999999999999999E-3</v>
      </c>
      <c r="T151" s="1077">
        <f>Q151/100</f>
        <v>6.3E-2</v>
      </c>
    </row>
    <row r="152" spans="1:58" ht="35.1" customHeight="1" thickBot="1" x14ac:dyDescent="0.25">
      <c r="A152" s="460"/>
      <c r="B152" s="390"/>
      <c r="C152" s="405"/>
      <c r="D152" s="528"/>
      <c r="E152" s="405"/>
      <c r="F152" s="405"/>
      <c r="G152" s="405"/>
      <c r="H152" s="405"/>
      <c r="I152" s="405"/>
      <c r="J152" s="405"/>
      <c r="K152" s="527"/>
      <c r="L152" s="405"/>
      <c r="M152" s="499"/>
      <c r="N152" s="482"/>
      <c r="P152" s="1071"/>
      <c r="Q152" s="1072"/>
      <c r="R152" s="1073"/>
      <c r="S152" s="1073"/>
      <c r="T152" s="1074"/>
    </row>
    <row r="153" spans="1:58" ht="35.1" customHeight="1" thickBot="1" x14ac:dyDescent="0.25">
      <c r="A153" s="460"/>
      <c r="B153" s="390"/>
      <c r="C153" s="405"/>
      <c r="D153" s="528"/>
      <c r="E153" s="405"/>
      <c r="F153" s="405"/>
      <c r="G153" s="405"/>
      <c r="H153" s="405"/>
      <c r="I153" s="405"/>
      <c r="J153" s="405"/>
      <c r="K153" s="527"/>
      <c r="L153" s="405"/>
      <c r="M153" s="499"/>
      <c r="N153" s="482"/>
    </row>
    <row r="154" spans="1:58" ht="35.1" customHeight="1" thickBot="1" x14ac:dyDescent="0.25">
      <c r="A154" s="460"/>
      <c r="B154" s="1508" t="s">
        <v>211</v>
      </c>
      <c r="C154" s="1509"/>
      <c r="D154" s="1509"/>
      <c r="E154" s="1509"/>
      <c r="F154" s="1509"/>
      <c r="G154" s="1509"/>
      <c r="H154" s="1509"/>
      <c r="I154" s="1509"/>
      <c r="J154" s="1509"/>
      <c r="K154" s="1509"/>
      <c r="L154" s="1510"/>
      <c r="M154" s="499"/>
      <c r="N154" s="482"/>
    </row>
    <row r="155" spans="1:58" ht="60" customHeight="1" thickBot="1" x14ac:dyDescent="0.25">
      <c r="A155" s="460"/>
      <c r="B155" s="1502" t="s">
        <v>207</v>
      </c>
      <c r="C155" s="390"/>
      <c r="D155" s="559" t="s">
        <v>43</v>
      </c>
      <c r="E155" s="560" t="s">
        <v>284</v>
      </c>
      <c r="F155" s="559" t="s">
        <v>283</v>
      </c>
      <c r="G155" s="559" t="s">
        <v>187</v>
      </c>
      <c r="H155" s="559" t="s">
        <v>246</v>
      </c>
      <c r="I155" s="559" t="s">
        <v>185</v>
      </c>
      <c r="J155" s="559" t="s">
        <v>247</v>
      </c>
      <c r="K155" s="561" t="s">
        <v>186</v>
      </c>
      <c r="L155" s="650" t="s">
        <v>549</v>
      </c>
      <c r="M155" s="499"/>
      <c r="N155" s="482"/>
    </row>
    <row r="156" spans="1:58" ht="35.1" customHeight="1" x14ac:dyDescent="0.25">
      <c r="A156" s="460"/>
      <c r="B156" s="1503"/>
      <c r="C156" s="651"/>
      <c r="D156" s="378"/>
      <c r="E156" s="379"/>
      <c r="F156" s="379"/>
      <c r="G156" s="379"/>
      <c r="H156" s="379"/>
      <c r="I156" s="379"/>
      <c r="J156" s="379"/>
      <c r="K156" s="380"/>
      <c r="L156" s="381"/>
      <c r="M156" s="499"/>
      <c r="N156" s="482"/>
    </row>
    <row r="157" spans="1:58" ht="35.1" customHeight="1" thickBot="1" x14ac:dyDescent="0.25">
      <c r="A157" s="460"/>
      <c r="B157" s="1504"/>
      <c r="C157" s="863" t="s">
        <v>296</v>
      </c>
      <c r="D157" s="926" t="s">
        <v>294</v>
      </c>
      <c r="E157" s="927">
        <v>63091842</v>
      </c>
      <c r="F157" s="1001">
        <v>25</v>
      </c>
      <c r="G157" s="1001">
        <v>1.2999999999999999E-3</v>
      </c>
      <c r="H157" s="1001">
        <v>0</v>
      </c>
      <c r="I157" s="1001">
        <v>8.9999999999999993E-3</v>
      </c>
      <c r="J157" s="927">
        <v>2</v>
      </c>
      <c r="K157" s="1002">
        <v>43132</v>
      </c>
      <c r="L157" s="1003" t="s">
        <v>395</v>
      </c>
      <c r="M157" s="658"/>
    </row>
    <row r="159" spans="1:58" ht="35.1" customHeight="1" thickBot="1" x14ac:dyDescent="0.25">
      <c r="B159" s="660"/>
      <c r="C159" s="661"/>
      <c r="D159" s="662"/>
      <c r="E159" s="663"/>
      <c r="F159" s="663"/>
      <c r="G159" s="663"/>
      <c r="H159" s="663"/>
      <c r="I159" s="663"/>
      <c r="J159" s="663"/>
      <c r="K159" s="664"/>
      <c r="L159" s="665"/>
      <c r="M159" s="666"/>
    </row>
    <row r="160" spans="1:58" ht="51.75" customHeight="1" thickBot="1" x14ac:dyDescent="0.25">
      <c r="B160" s="1004" t="s">
        <v>424</v>
      </c>
      <c r="C160" s="1005" t="str">
        <f>D110</f>
        <v>Fabricante</v>
      </c>
      <c r="D160" s="1006" t="str">
        <f>E36</f>
        <v>Identificación / Serie</v>
      </c>
      <c r="E160" s="1006" t="str">
        <f>S53</f>
        <v>Fecha de Calibración</v>
      </c>
      <c r="F160" s="1006" t="str">
        <f>T53</f>
        <v>Trazabilidad y numero</v>
      </c>
      <c r="G160" s="1006" t="s">
        <v>3</v>
      </c>
      <c r="H160" s="1006" t="s">
        <v>425</v>
      </c>
      <c r="I160" s="1006" t="s">
        <v>16</v>
      </c>
      <c r="J160" s="1006" t="s">
        <v>464</v>
      </c>
      <c r="K160" s="1006" t="s">
        <v>465</v>
      </c>
      <c r="L160" s="1006" t="s">
        <v>466</v>
      </c>
      <c r="M160" s="1006" t="s">
        <v>468</v>
      </c>
      <c r="N160" s="1006" t="s">
        <v>467</v>
      </c>
      <c r="O160" s="1007" t="s">
        <v>469</v>
      </c>
    </row>
    <row r="161" spans="2:15" ht="35.1" customHeight="1" thickBot="1" x14ac:dyDescent="0.25">
      <c r="B161" s="740"/>
      <c r="C161" s="741"/>
      <c r="D161" s="741"/>
      <c r="E161" s="741"/>
      <c r="F161" s="741"/>
      <c r="G161" s="741"/>
      <c r="H161" s="741"/>
      <c r="I161" s="741"/>
      <c r="J161" s="741"/>
      <c r="K161" s="741"/>
      <c r="L161" s="741"/>
      <c r="M161" s="741"/>
      <c r="N161" s="741"/>
      <c r="O161" s="739"/>
    </row>
    <row r="162" spans="2:15" ht="39.950000000000003" customHeight="1" x14ac:dyDescent="0.2">
      <c r="B162" s="965" t="str">
        <f>O57</f>
        <v>V-002</v>
      </c>
      <c r="C162" s="848" t="str">
        <f>D55</f>
        <v>Lufft Opus 20</v>
      </c>
      <c r="D162" s="966" t="str">
        <f>E55</f>
        <v>0,23.0714.0802.024</v>
      </c>
      <c r="E162" s="1128" t="str">
        <f>S56</f>
        <v>21/05/2019 / - 23/05/2019 -    15/05/2019</v>
      </c>
      <c r="F162" s="967" t="str">
        <f>T56</f>
        <v>INM  3998- 4006-2313</v>
      </c>
      <c r="G162" s="848">
        <f>P57</f>
        <v>0.3</v>
      </c>
      <c r="H162" s="848">
        <f t="shared" ref="H162:I162" si="0">Q57</f>
        <v>1.7</v>
      </c>
      <c r="I162" s="847">
        <f t="shared" si="0"/>
        <v>8.6999999999999994E-2</v>
      </c>
      <c r="J162" s="968">
        <f>SLOPE(H55:H57,F55:F57)</f>
        <v>7.6498785212423676E-3</v>
      </c>
      <c r="K162" s="968">
        <f>INTERCEPT(H55:H57,F55:F57)</f>
        <v>-0.21055551907544817</v>
      </c>
      <c r="L162" s="968">
        <f>SLOPE(H58:H60,F58:F60)</f>
        <v>0.13760217983651227</v>
      </c>
      <c r="M162" s="968">
        <f>INTERCEPT(H58:H60,F58:F60)</f>
        <v>-7.9455040871934619</v>
      </c>
      <c r="N162" s="968">
        <f>SLOPE(H61:H63,F61:F63)</f>
        <v>2.2505111167901866E-3</v>
      </c>
      <c r="O162" s="969">
        <f>INTERCEPT(H61:H63,F61:F63)</f>
        <v>-2.6052251575943437</v>
      </c>
    </row>
    <row r="163" spans="2:15" ht="39.950000000000003" customHeight="1" x14ac:dyDescent="0.2">
      <c r="B163" s="970" t="str">
        <f>O89</f>
        <v>M-010</v>
      </c>
      <c r="C163" s="843" t="str">
        <f>D88</f>
        <v>Lufft Opus 20</v>
      </c>
      <c r="D163" s="971" t="str">
        <f>E88</f>
        <v>0,26.0714.0802.024</v>
      </c>
      <c r="E163" s="1123" t="str">
        <f>S88</f>
        <v>14/05/2019- 15/05/2019-    15/05/2019</v>
      </c>
      <c r="F163" s="844" t="str">
        <f>T88</f>
        <v>INM 3985 - INM 3987 -   INM 2314</v>
      </c>
      <c r="G163" s="958">
        <f>P89</f>
        <v>0.3</v>
      </c>
      <c r="H163" s="958">
        <f t="shared" ref="H163:I163" si="1">Q89</f>
        <v>1.7</v>
      </c>
      <c r="I163" s="936">
        <f t="shared" si="1"/>
        <v>0.11</v>
      </c>
      <c r="J163" s="972">
        <f>SLOPE(H88:H90,F88:F90)</f>
        <v>3.6000822875951452E-2</v>
      </c>
      <c r="K163" s="972">
        <f>INTERCEPT(H88:H90,F88:F90)</f>
        <v>-0.76495234176781179</v>
      </c>
      <c r="L163" s="972">
        <f>SLOPE(H91:H93,F91:F93)</f>
        <v>0.14610357623723358</v>
      </c>
      <c r="M163" s="972">
        <f>INTERCEPT(H91:H93,F91:F93)</f>
        <v>-8.5658927457226355</v>
      </c>
      <c r="N163" s="972">
        <f>SLOPE(H94:H96,F94:F96)</f>
        <v>9.9371027322040775E-4</v>
      </c>
      <c r="O163" s="973">
        <f>INTERCEPT(H94:H96,F94:F96)</f>
        <v>-1.6189803986821536</v>
      </c>
    </row>
    <row r="164" spans="2:15" ht="39.950000000000003" customHeight="1" x14ac:dyDescent="0.2">
      <c r="B164" s="970" t="str">
        <f>O100</f>
        <v>M-011</v>
      </c>
      <c r="C164" s="843" t="str">
        <f>D99</f>
        <v>Lufft Opus 20</v>
      </c>
      <c r="D164" s="971" t="str">
        <f>E99</f>
        <v>0,22.0714.0802.024</v>
      </c>
      <c r="E164" s="1123" t="str">
        <f>S99</f>
        <v>14/05/2019 -/  15/05/2019 -   15/05/2019</v>
      </c>
      <c r="F164" s="844" t="str">
        <f>T99</f>
        <v>INM-3986-INM 3988-INM 2315</v>
      </c>
      <c r="G164" s="936">
        <f>P100</f>
        <v>0.3</v>
      </c>
      <c r="H164" s="936">
        <f t="shared" ref="H164:I164" si="2">Q100</f>
        <v>1.7</v>
      </c>
      <c r="I164" s="936">
        <f t="shared" si="2"/>
        <v>0.11</v>
      </c>
      <c r="J164" s="972">
        <f>SLOPE(H99:H101,F99:F101)</f>
        <v>1.3789480596230877E-2</v>
      </c>
      <c r="K164" s="972">
        <f>INTERCEPT(H99:H101,F99:F101)</f>
        <v>-0.31945630047934864</v>
      </c>
      <c r="L164" s="972">
        <f>SLOPE(H102:H104,F102:F104)</f>
        <v>0.15265797836413364</v>
      </c>
      <c r="M164" s="972">
        <f>INTERCEPT(H102:H104,F102:F104)</f>
        <v>-8.8239788291829537</v>
      </c>
      <c r="N164" s="972">
        <f>SLOPE(H105:H107,F105:F107)</f>
        <v>2.5887582843066E-3</v>
      </c>
      <c r="O164" s="973">
        <f>INTERCEPT(H105:H107,F105:F107)</f>
        <v>-2.8090982993247189</v>
      </c>
    </row>
    <row r="165" spans="2:15" ht="39.950000000000003" customHeight="1" x14ac:dyDescent="0.2">
      <c r="B165" s="970" t="str">
        <f>O67</f>
        <v xml:space="preserve">M-012  </v>
      </c>
      <c r="C165" s="843" t="str">
        <f>D66</f>
        <v>Lufft Opus 20</v>
      </c>
      <c r="D165" s="971">
        <f>E66</f>
        <v>19506160802033</v>
      </c>
      <c r="E165" s="1123" t="str">
        <f>S66</f>
        <v>21/05/2019 /-  23/05/2019 -/  02/05/2019</v>
      </c>
      <c r="F165" s="844" t="str">
        <f>T66</f>
        <v>INM-3997, INM 4005 - INM 2316</v>
      </c>
      <c r="G165" s="936">
        <f>P67</f>
        <v>0.4</v>
      </c>
      <c r="H165" s="936">
        <f t="shared" ref="H165:I165" si="3">Q67</f>
        <v>1.7</v>
      </c>
      <c r="I165" s="936">
        <f t="shared" si="3"/>
        <v>0.16</v>
      </c>
      <c r="J165" s="972">
        <f>SLOPE(H66:H68,F66:F68)</f>
        <v>2.7153152443586816E-2</v>
      </c>
      <c r="K165" s="972">
        <f>INTERCEPT(H66:H68,F66:F68)</f>
        <v>-0.60311109360847481</v>
      </c>
      <c r="L165" s="972">
        <f>SLOPE(H69:H71,F69:F71)</f>
        <v>0.12702668198646755</v>
      </c>
      <c r="M165" s="972">
        <f>INTERCEPT(H69:H71,F69:F71)</f>
        <v>-6.9481807736499448</v>
      </c>
      <c r="N165" s="972">
        <f>SLOPE(H72:H74,F72:F74)</f>
        <v>2.9837508219285893E-3</v>
      </c>
      <c r="O165" s="973">
        <f>INTERCEPT(H72:H74,F72:F74)</f>
        <v>-3.0988077000537513</v>
      </c>
    </row>
    <row r="166" spans="2:15" ht="39.950000000000003" customHeight="1" thickBot="1" x14ac:dyDescent="0.25">
      <c r="B166" s="974" t="str">
        <f>O78</f>
        <v xml:space="preserve">M-013  </v>
      </c>
      <c r="C166" s="852" t="str">
        <f>D77</f>
        <v>Lufft Opus 20</v>
      </c>
      <c r="D166" s="975">
        <f>E77</f>
        <v>19406160802033</v>
      </c>
      <c r="E166" s="976" t="str">
        <f>S77</f>
        <v>2018-06-14 - / 2018-06-15 -    2018-08-21</v>
      </c>
      <c r="F166" s="977" t="str">
        <f>T77</f>
        <v>INM 3411 - INM 3412 -  INM 2267</v>
      </c>
      <c r="G166" s="960">
        <f>P78</f>
        <v>0.4</v>
      </c>
      <c r="H166" s="960">
        <f t="shared" ref="H166:I166" si="4">Q78</f>
        <v>1.7</v>
      </c>
      <c r="I166" s="960">
        <f t="shared" si="4"/>
        <v>0.11</v>
      </c>
      <c r="J166" s="978">
        <f>SLOPE(H77:H79,F77:F79)</f>
        <v>-5.2446913490004025E-3</v>
      </c>
      <c r="K166" s="978">
        <f>INTERCEPT(H77:H79,F77:F79)</f>
        <v>9.6909835166843317E-2</v>
      </c>
      <c r="L166" s="978">
        <f>SLOPE(H80:H82,F80:F82)</f>
        <v>9.4154637161561874E-2</v>
      </c>
      <c r="M166" s="978">
        <f>INTERCEPT(H80:H82,F80:F82)</f>
        <v>-5.5686579671974146</v>
      </c>
      <c r="N166" s="978">
        <f>SLOPE(H83:H85,F83:F85)</f>
        <v>8.5645586858455974E-4</v>
      </c>
      <c r="O166" s="979">
        <f>INTERCEPT(H83:H85,F83:F85)</f>
        <v>-1.3988943739892754</v>
      </c>
    </row>
    <row r="228" spans="74:77" ht="35.1" customHeight="1" x14ac:dyDescent="0.25">
      <c r="BV228" s="400"/>
      <c r="BW228" s="400"/>
      <c r="BX228" s="400"/>
      <c r="BY228" s="400"/>
    </row>
    <row r="229" spans="74:77" ht="35.1" customHeight="1" x14ac:dyDescent="0.25">
      <c r="BV229" s="400"/>
      <c r="BW229" s="400"/>
      <c r="BX229" s="400"/>
      <c r="BY229" s="400"/>
    </row>
    <row r="230" spans="74:77" ht="35.1" customHeight="1" x14ac:dyDescent="0.25">
      <c r="BV230" s="400"/>
      <c r="BW230" s="400"/>
      <c r="BX230" s="400"/>
      <c r="BY230" s="400"/>
    </row>
    <row r="231" spans="74:77" ht="35.1" customHeight="1" x14ac:dyDescent="0.25">
      <c r="BV231" s="400"/>
      <c r="BW231" s="400"/>
      <c r="BX231" s="400"/>
      <c r="BY231" s="400"/>
    </row>
  </sheetData>
  <sheetProtection algorithmName="SHA-512" hashValue="8LRGoIA5knNIoU1MdqB6oQy1S+2p0y+z5SfBKqYqrR24Z1stRiHeEaJ2cdPxaknYt1sl+cK2EWne/8osA55j/A==" saltValue="kTsz5hE8F250BUkcgSonKw==" spinCount="100000" sheet="1" objects="1" scenarios="1"/>
  <dataConsolidate/>
  <mergeCells count="136">
    <mergeCell ref="U110:V110"/>
    <mergeCell ref="U108:V108"/>
    <mergeCell ref="L38:L42"/>
    <mergeCell ref="L44:L48"/>
    <mergeCell ref="S99:S101"/>
    <mergeCell ref="C77:C85"/>
    <mergeCell ref="D77:D85"/>
    <mergeCell ref="E77:E85"/>
    <mergeCell ref="J77:J79"/>
    <mergeCell ref="J94:J96"/>
    <mergeCell ref="K94:K96"/>
    <mergeCell ref="L94:L96"/>
    <mergeCell ref="O67:O68"/>
    <mergeCell ref="K66:K68"/>
    <mergeCell ref="L66:L68"/>
    <mergeCell ref="L91:L93"/>
    <mergeCell ref="D44:D48"/>
    <mergeCell ref="S66:S68"/>
    <mergeCell ref="C52:T52"/>
    <mergeCell ref="O53:O54"/>
    <mergeCell ref="P53:R54"/>
    <mergeCell ref="S53:S54"/>
    <mergeCell ref="T53:T54"/>
    <mergeCell ref="S56:S58"/>
    <mergeCell ref="A69:B71"/>
    <mergeCell ref="J69:J71"/>
    <mergeCell ref="K69:K71"/>
    <mergeCell ref="A88:B90"/>
    <mergeCell ref="L72:L74"/>
    <mergeCell ref="L83:L85"/>
    <mergeCell ref="J83:J85"/>
    <mergeCell ref="K83:K85"/>
    <mergeCell ref="E88:E96"/>
    <mergeCell ref="J88:J90"/>
    <mergeCell ref="A94:B96"/>
    <mergeCell ref="A80:B82"/>
    <mergeCell ref="J80:J82"/>
    <mergeCell ref="K80:K82"/>
    <mergeCell ref="L80:L82"/>
    <mergeCell ref="D88:D96"/>
    <mergeCell ref="E1:M1"/>
    <mergeCell ref="D5:N5"/>
    <mergeCell ref="B11:N12"/>
    <mergeCell ref="B44:B48"/>
    <mergeCell ref="B38:B42"/>
    <mergeCell ref="D38:D42"/>
    <mergeCell ref="T99:T101"/>
    <mergeCell ref="O100:O101"/>
    <mergeCell ref="K99:K101"/>
    <mergeCell ref="L99:L101"/>
    <mergeCell ref="O89:O90"/>
    <mergeCell ref="K88:K90"/>
    <mergeCell ref="L88:L90"/>
    <mergeCell ref="A99:B101"/>
    <mergeCell ref="C99:C107"/>
    <mergeCell ref="D99:D107"/>
    <mergeCell ref="E99:E107"/>
    <mergeCell ref="J99:J101"/>
    <mergeCell ref="A105:B107"/>
    <mergeCell ref="J105:J107"/>
    <mergeCell ref="K105:K107"/>
    <mergeCell ref="L105:L107"/>
    <mergeCell ref="A91:B93"/>
    <mergeCell ref="J91:J93"/>
    <mergeCell ref="B35:L35"/>
    <mergeCell ref="B129:B131"/>
    <mergeCell ref="B28:L28"/>
    <mergeCell ref="B21:M21"/>
    <mergeCell ref="B118:L118"/>
    <mergeCell ref="B109:L109"/>
    <mergeCell ref="A55:B57"/>
    <mergeCell ref="C55:C63"/>
    <mergeCell ref="D55:D63"/>
    <mergeCell ref="E55:E63"/>
    <mergeCell ref="J55:J57"/>
    <mergeCell ref="K55:K57"/>
    <mergeCell ref="L55:L57"/>
    <mergeCell ref="C50:T51"/>
    <mergeCell ref="B29:B32"/>
    <mergeCell ref="P109:S109"/>
    <mergeCell ref="P108:S108"/>
    <mergeCell ref="O118:R118"/>
    <mergeCell ref="B119:B126"/>
    <mergeCell ref="B110:B116"/>
    <mergeCell ref="O119:P119"/>
    <mergeCell ref="L69:L71"/>
    <mergeCell ref="A77:B79"/>
    <mergeCell ref="C88:C96"/>
    <mergeCell ref="L61:L63"/>
    <mergeCell ref="T56:T58"/>
    <mergeCell ref="O57:O58"/>
    <mergeCell ref="L58:L60"/>
    <mergeCell ref="B155:B157"/>
    <mergeCell ref="B145:B151"/>
    <mergeCell ref="B137:B143"/>
    <mergeCell ref="B134:L134"/>
    <mergeCell ref="B128:L128"/>
    <mergeCell ref="B154:L154"/>
    <mergeCell ref="D137:D143"/>
    <mergeCell ref="P144:S144"/>
    <mergeCell ref="P145:S145"/>
    <mergeCell ref="D145:D151"/>
    <mergeCell ref="A66:B68"/>
    <mergeCell ref="C66:C74"/>
    <mergeCell ref="D66:D74"/>
    <mergeCell ref="E66:E74"/>
    <mergeCell ref="J66:J68"/>
    <mergeCell ref="A72:B74"/>
    <mergeCell ref="J72:J74"/>
    <mergeCell ref="K72:K74"/>
    <mergeCell ref="K91:K93"/>
    <mergeCell ref="A83:B85"/>
    <mergeCell ref="O28:P28"/>
    <mergeCell ref="Q8:U8"/>
    <mergeCell ref="S9:U9"/>
    <mergeCell ref="P7:U7"/>
    <mergeCell ref="Q9:R9"/>
    <mergeCell ref="S77:S79"/>
    <mergeCell ref="T66:T68"/>
    <mergeCell ref="A102:B104"/>
    <mergeCell ref="J102:J104"/>
    <mergeCell ref="K102:K104"/>
    <mergeCell ref="L102:L104"/>
    <mergeCell ref="T77:T79"/>
    <mergeCell ref="O78:O79"/>
    <mergeCell ref="K77:K79"/>
    <mergeCell ref="L77:L79"/>
    <mergeCell ref="S88:S90"/>
    <mergeCell ref="T88:T90"/>
    <mergeCell ref="T14:V14"/>
    <mergeCell ref="A61:B63"/>
    <mergeCell ref="A58:B60"/>
    <mergeCell ref="J58:J60"/>
    <mergeCell ref="K58:K60"/>
    <mergeCell ref="K61:K63"/>
    <mergeCell ref="J61:J63"/>
  </mergeCells>
  <dataValidations count="2">
    <dataValidation type="list" allowBlank="1" showInputMessage="1" showErrorMessage="1" sqref="H14">
      <formula1>$P$111:$P$115</formula1>
    </dataValidation>
    <dataValidation type="list" allowBlank="1" showInputMessage="1" showErrorMessage="1" sqref="J14">
      <formula1>$U$112:$U$114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rowBreaks count="2" manualBreakCount="2">
    <brk id="48" max="21" man="1"/>
    <brk id="107" max="21" man="1"/>
  </rowBreaks>
  <ignoredErrors>
    <ignoredError sqref="P57:R57 P67:R67 P78:R78 P89:R89 P100:R100 J162:J166 K162:K166 L162:L166 M162:M166 N162:N16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tabSelected="1" view="pageBreakPreview" zoomScale="70" zoomScaleNormal="40" zoomScaleSheetLayoutView="70" workbookViewId="0">
      <selection activeCell="D12" sqref="D12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4.5703125" style="55" customWidth="1"/>
    <col min="4" max="4" width="15.28515625" style="55" customWidth="1"/>
    <col min="5" max="5" width="14.28515625" style="55" customWidth="1"/>
    <col min="6" max="6" width="11.5703125" style="55" customWidth="1"/>
    <col min="7" max="7" width="13.140625" style="55" customWidth="1"/>
    <col min="8" max="8" width="12.7109375" style="55" customWidth="1"/>
    <col min="9" max="9" width="19" style="55" customWidth="1"/>
    <col min="10" max="11" width="12.7109375" style="55" customWidth="1"/>
    <col min="12" max="12" width="18" style="55" customWidth="1"/>
    <col min="13" max="13" width="17.140625" style="55" customWidth="1"/>
    <col min="14" max="14" width="13.7109375" style="55" customWidth="1"/>
    <col min="15" max="15" width="21" style="55" customWidth="1"/>
    <col min="16" max="16" width="16.28515625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745"/>
      <c r="B1" s="1746"/>
      <c r="C1" s="1"/>
      <c r="D1" s="1747" t="s">
        <v>586</v>
      </c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9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42.75" customHeight="1" thickBot="1" x14ac:dyDescent="0.3">
      <c r="A3" s="66" t="s">
        <v>52</v>
      </c>
      <c r="B3" s="1268" t="e">
        <f>VLOOKUP($S3,DATOS!$D$7:$N$19,2,FALSE)</f>
        <v>#N/A</v>
      </c>
      <c r="C3" s="67" t="s">
        <v>588</v>
      </c>
      <c r="D3" s="1750" t="e">
        <f>VLOOKUP($S$3,DATOS!$D$7:$N$19,3,FALSE)</f>
        <v>#N/A</v>
      </c>
      <c r="E3" s="1751"/>
      <c r="F3" s="68" t="s">
        <v>457</v>
      </c>
      <c r="G3" s="1752" t="e">
        <f>VLOOKUP($S$3,DATOS!$D$7:$N$19,7,FALSE)</f>
        <v>#N/A</v>
      </c>
      <c r="H3" s="1752"/>
      <c r="I3" s="68" t="s">
        <v>589</v>
      </c>
      <c r="J3" s="1752" t="e">
        <f>VLOOKUP($S$3,DATOS!$D$7:$N$19,4,FALSE)</f>
        <v>#N/A</v>
      </c>
      <c r="K3" s="1752"/>
      <c r="L3" s="68" t="s">
        <v>590</v>
      </c>
      <c r="M3" s="1752" t="e">
        <f>VLOOKUP($S$3,DATOS!$D$7:$N$19,6,FALSE)</f>
        <v>#N/A</v>
      </c>
      <c r="N3" s="1752"/>
      <c r="O3" s="68" t="s">
        <v>591</v>
      </c>
      <c r="P3" s="1752" t="e">
        <f>VLOOKUP($S$3,DATOS!$D$7:$N$19,11,FALSE)</f>
        <v>#N/A</v>
      </c>
      <c r="Q3" s="1752"/>
      <c r="R3" s="1753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763" t="s">
        <v>65</v>
      </c>
      <c r="B5" s="1764"/>
      <c r="C5" s="1764"/>
      <c r="D5" s="1764"/>
      <c r="E5" s="1764"/>
      <c r="F5" s="1764"/>
      <c r="G5" s="1764"/>
      <c r="H5" s="1764"/>
      <c r="I5" s="1764"/>
      <c r="J5" s="1764"/>
      <c r="K5" s="1764"/>
      <c r="L5" s="1764"/>
      <c r="M5" s="1764"/>
      <c r="N5" s="1764"/>
      <c r="O5" s="1764"/>
      <c r="P5" s="1764"/>
      <c r="Q5" s="1764"/>
      <c r="R5" s="1765"/>
    </row>
    <row r="6" spans="1:19" s="2" customFormat="1" ht="50.1" customHeight="1" thickBot="1" x14ac:dyDescent="0.3">
      <c r="A6" s="117" t="s">
        <v>14</v>
      </c>
      <c r="B6" s="180" t="s">
        <v>188</v>
      </c>
      <c r="C6" s="180" t="s">
        <v>190</v>
      </c>
      <c r="D6" s="180" t="s">
        <v>66</v>
      </c>
      <c r="E6" s="180" t="s">
        <v>187</v>
      </c>
      <c r="F6" s="180" t="s">
        <v>66</v>
      </c>
      <c r="G6" s="180" t="s">
        <v>189</v>
      </c>
      <c r="H6" s="180" t="s">
        <v>66</v>
      </c>
      <c r="I6" s="180" t="s">
        <v>185</v>
      </c>
      <c r="J6" s="180" t="s">
        <v>66</v>
      </c>
      <c r="K6" s="181" t="s">
        <v>67</v>
      </c>
      <c r="L6" s="180" t="s">
        <v>66</v>
      </c>
      <c r="M6" s="180" t="s">
        <v>458</v>
      </c>
      <c r="N6" s="180" t="s">
        <v>66</v>
      </c>
      <c r="O6" s="180" t="s">
        <v>191</v>
      </c>
      <c r="P6" s="180" t="s">
        <v>186</v>
      </c>
      <c r="Q6" s="1766" t="s">
        <v>213</v>
      </c>
      <c r="R6" s="1767"/>
    </row>
    <row r="7" spans="1:19" s="2" customFormat="1" ht="29.25" customHeight="1" thickBot="1" x14ac:dyDescent="0.3">
      <c r="A7" s="1041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68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768" t="s">
        <v>69</v>
      </c>
      <c r="B8" s="99" t="e">
        <f>VLOOKUP(S8,DATOS!$C$39:$K$48,3,FALSE)</f>
        <v>#N/A</v>
      </c>
      <c r="C8" s="94" t="e">
        <f>VLOOKUP(S8,DATOS!$C$37:$K$49,4,FALSE)</f>
        <v>#N/A</v>
      </c>
      <c r="D8" s="1018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266" t="e">
        <f>(I8/2)/SQRT(12)</f>
        <v>#N/A</v>
      </c>
      <c r="L8" s="95" t="s">
        <v>3</v>
      </c>
      <c r="M8" s="1016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769"/>
      <c r="B9" s="99" t="e">
        <f>VLOOKUP(S9,DATOS!$C$39:$K$48,3,FALSE)</f>
        <v>#N/A</v>
      </c>
      <c r="C9" s="94" t="e">
        <f>VLOOKUP(S9,DATOS!$C$37:$K$49,4,FALSE)</f>
        <v>#N/A</v>
      </c>
      <c r="D9" s="1018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266" t="e">
        <f t="shared" ref="K9:K22" si="0">(I9/2)/SQRT(12)</f>
        <v>#N/A</v>
      </c>
      <c r="L9" s="95" t="s">
        <v>3</v>
      </c>
      <c r="M9" s="1016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83"/>
      <c r="S9" s="360"/>
    </row>
    <row r="10" spans="1:19" s="2" customFormat="1" ht="30" customHeight="1" x14ac:dyDescent="0.25">
      <c r="A10" s="1769"/>
      <c r="B10" s="99" t="e">
        <f>VLOOKUP(S10,DATOS!$C$39:$K$48,3,FALSE)</f>
        <v>#N/A</v>
      </c>
      <c r="C10" s="94" t="e">
        <f>VLOOKUP(S10,DATOS!$C$37:$K$49,4,FALSE)</f>
        <v>#N/A</v>
      </c>
      <c r="D10" s="1018" t="s">
        <v>3</v>
      </c>
      <c r="E10" s="94" t="e">
        <f>VLOOKUP(S10,DATOS!$C$37:$K$49,5,FALSE)</f>
        <v>#N/A</v>
      </c>
      <c r="F10" s="95" t="s">
        <v>266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266" t="e">
        <f t="shared" si="0"/>
        <v>#N/A</v>
      </c>
      <c r="L10" s="95" t="s">
        <v>3</v>
      </c>
      <c r="M10" s="1016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769"/>
      <c r="B11" s="99" t="e">
        <f>VLOOKUP(S11,DATOS!$C$37:$K$49,3,FALSE)</f>
        <v>#N/A</v>
      </c>
      <c r="C11" s="94" t="e">
        <f>VLOOKUP(S11,DATOS!$C$37:$K$49,4,FALSE)</f>
        <v>#N/A</v>
      </c>
      <c r="D11" s="1018" t="s">
        <v>3</v>
      </c>
      <c r="E11" s="94" t="e">
        <f>VLOOKUP(S11,DATOS!$C$37:$K$49,5,FALSE)</f>
        <v>#N/A</v>
      </c>
      <c r="F11" s="95" t="s">
        <v>266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266" t="e">
        <f t="shared" si="0"/>
        <v>#N/A</v>
      </c>
      <c r="L11" s="95" t="s">
        <v>3</v>
      </c>
      <c r="M11" s="1016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770"/>
      <c r="B12" s="99" t="e">
        <f>VLOOKUP(S12,DATOS!$C$37:$K$49,3,FALSE)</f>
        <v>#N/A</v>
      </c>
      <c r="C12" s="94" t="e">
        <f>VLOOKUP(S12,DATOS!$C$37:$K$49,4,FALSE)</f>
        <v>#N/A</v>
      </c>
      <c r="D12" s="1018" t="s">
        <v>3</v>
      </c>
      <c r="E12" s="94" t="e">
        <f>VLOOKUP(S12,DATOS!$C$37:$K$49,5,FALSE)</f>
        <v>#N/A</v>
      </c>
      <c r="F12" s="95" t="s">
        <v>266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266" t="e">
        <f t="shared" si="0"/>
        <v>#N/A</v>
      </c>
      <c r="L12" s="95" t="s">
        <v>3</v>
      </c>
      <c r="M12" s="1016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768" t="s">
        <v>70</v>
      </c>
      <c r="B13" s="99" t="e">
        <f>VLOOKUP(S13,DATOS!$C$37:$K$49,3,FALSE)</f>
        <v>#N/A</v>
      </c>
      <c r="C13" s="94" t="e">
        <f>VLOOKUP(S13,DATOS!$C$37:$K$49,4,FALSE)</f>
        <v>#N/A</v>
      </c>
      <c r="D13" s="1018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266" t="e">
        <f>(I13/2)/SQRT(12)</f>
        <v>#N/A</v>
      </c>
      <c r="L13" s="95" t="s">
        <v>3</v>
      </c>
      <c r="M13" s="1016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769"/>
      <c r="B14" s="99" t="e">
        <f>VLOOKUP(S14,DATOS!$C$39:$K$48,3,FALSE)</f>
        <v>#N/A</v>
      </c>
      <c r="C14" s="94" t="e">
        <f>VLOOKUP(S14,DATOS!$C$37:$K$49,4,FALSE)</f>
        <v>#N/A</v>
      </c>
      <c r="D14" s="1018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266" t="e">
        <f t="shared" ref="K14:K17" si="2">(I14/2)/SQRT(12)</f>
        <v>#N/A</v>
      </c>
      <c r="L14" s="95" t="s">
        <v>3</v>
      </c>
      <c r="M14" s="1016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769"/>
      <c r="B15" s="99" t="e">
        <f>VLOOKUP(S15,DATOS!$C$39:$K$48,3,FALSE)</f>
        <v>#N/A</v>
      </c>
      <c r="C15" s="94" t="e">
        <f>VLOOKUP(S15,DATOS!$C$37:$K$49,4,FALSE)</f>
        <v>#N/A</v>
      </c>
      <c r="D15" s="1018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266" t="e">
        <f t="shared" si="2"/>
        <v>#N/A</v>
      </c>
      <c r="L15" s="95" t="s">
        <v>3</v>
      </c>
      <c r="M15" s="1016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769"/>
      <c r="B16" s="99" t="e">
        <f>VLOOKUP(S16,DATOS!$C$37:$K$49,3,FALSE)</f>
        <v>#N/A</v>
      </c>
      <c r="C16" s="94" t="e">
        <f>VLOOKUP(S16,DATOS!$C$37:$K$49,4,FALSE)</f>
        <v>#N/A</v>
      </c>
      <c r="D16" s="1018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274" t="e">
        <f>VLOOKUP(S16,DATOS!$C$37:$K$49,7,FALSE)</f>
        <v>#N/A</v>
      </c>
      <c r="J16" s="95" t="s">
        <v>3</v>
      </c>
      <c r="K16" s="1266" t="e">
        <f t="shared" si="2"/>
        <v>#N/A</v>
      </c>
      <c r="L16" s="95" t="s">
        <v>3</v>
      </c>
      <c r="M16" s="1016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770"/>
      <c r="B17" s="99" t="e">
        <f>VLOOKUP(S17,DATOS!$C$37:$K$49,3,FALSE)</f>
        <v>#N/A</v>
      </c>
      <c r="C17" s="94" t="e">
        <f>VLOOKUP(S17,DATOS!$C$37:$K$49,4,FALSE)</f>
        <v>#N/A</v>
      </c>
      <c r="D17" s="1018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274" t="e">
        <f>VLOOKUP(S17,DATOS!$C$37:$K$49,7,FALSE)</f>
        <v>#N/A</v>
      </c>
      <c r="J17" s="95" t="s">
        <v>3</v>
      </c>
      <c r="K17" s="1266" t="e">
        <f t="shared" si="2"/>
        <v>#N/A</v>
      </c>
      <c r="L17" s="95" t="s">
        <v>3</v>
      </c>
      <c r="M17" s="1016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17" t="s">
        <v>195</v>
      </c>
      <c r="B18" s="96" t="e">
        <f>VLOOKUP(S18,DATOS!$C$111:$K$116,3,FALSE)</f>
        <v>#N/A</v>
      </c>
      <c r="C18" s="1274" t="e">
        <f>VLOOKUP(S18,DATOS!$C$111:$K$116,4,FALSE)</f>
        <v>#N/A</v>
      </c>
      <c r="D18" s="1018" t="s">
        <v>4</v>
      </c>
      <c r="E18" s="1274" t="e">
        <f>VLOOKUP(S18,DATOS!$C$111:$K$116,5,FALSE)</f>
        <v>#N/A</v>
      </c>
      <c r="F18" s="1018" t="s">
        <v>4</v>
      </c>
      <c r="G18" s="1274" t="e">
        <f>VLOOKUP(S18,DATOS!$C$111:$K$116,6,FALSE)</f>
        <v>#N/A</v>
      </c>
      <c r="H18" s="1018" t="s">
        <v>4</v>
      </c>
      <c r="I18" s="1274" t="e">
        <f>VLOOKUP(S18,DATOS!$C$111:$K$116,7,FALSE)</f>
        <v>#N/A</v>
      </c>
      <c r="J18" s="185" t="s">
        <v>4</v>
      </c>
      <c r="K18" s="1266" t="e">
        <f>(I18/2)/SQRT(12)</f>
        <v>#N/A</v>
      </c>
      <c r="L18" s="1018" t="s">
        <v>4</v>
      </c>
      <c r="M18" s="1016">
        <v>0</v>
      </c>
      <c r="N18" s="1018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10" t="s">
        <v>477</v>
      </c>
      <c r="R18" s="1011" t="s">
        <v>478</v>
      </c>
      <c r="S18" s="812"/>
    </row>
    <row r="19" spans="1:20" s="9" customFormat="1" ht="30" customHeight="1" x14ac:dyDescent="0.25">
      <c r="A19" s="1017" t="s">
        <v>196</v>
      </c>
      <c r="B19" s="1737" t="e">
        <f>VLOOKUP(S19,DATOS!$C$120:$K$126,3,FALSE)</f>
        <v>#N/A</v>
      </c>
      <c r="C19" s="1771" t="e">
        <f>VLOOKUP(S19,DATOS!$C$120:$K$126,4,FALSE)</f>
        <v>#N/A</v>
      </c>
      <c r="D19" s="1735" t="s">
        <v>4</v>
      </c>
      <c r="E19" s="1737" t="e">
        <f>VLOOKUP(S19,DATOS!$C$120:$K$126,5,FALSE)</f>
        <v>#N/A</v>
      </c>
      <c r="F19" s="1735" t="s">
        <v>4</v>
      </c>
      <c r="G19" s="1773" t="e">
        <f>VLOOKUP(S19,DATOS!$C$120:$K$126,6,FALSE)</f>
        <v>#N/A</v>
      </c>
      <c r="H19" s="1735" t="s">
        <v>4</v>
      </c>
      <c r="I19" s="1737" t="e">
        <f>VLOOKUP(S19,DATOS!$C$120:$K$126,7,FALSE)</f>
        <v>#N/A</v>
      </c>
      <c r="J19" s="1735" t="s">
        <v>4</v>
      </c>
      <c r="K19" s="1739" t="e">
        <f t="shared" si="0"/>
        <v>#N/A</v>
      </c>
      <c r="L19" s="1743" t="s">
        <v>4</v>
      </c>
      <c r="M19" s="186">
        <v>0</v>
      </c>
      <c r="N19" s="1743" t="s">
        <v>4</v>
      </c>
      <c r="O19" s="1737" t="e">
        <f>VLOOKUP(S19,DATOS!$C$120:$K$126,8,FALSE)</f>
        <v>#N/A</v>
      </c>
      <c r="P19" s="1775" t="e">
        <f>VLOOKUP(S19,DATOS!$C$120:$K$126,9,FALSE)</f>
        <v>#N/A</v>
      </c>
      <c r="Q19" s="1012" t="e">
        <f>VLOOKUP(S19,DATOS!$C$120:$R$127,13,FALSE)</f>
        <v>#N/A</v>
      </c>
      <c r="R19" s="1013" t="e">
        <f>VLOOKUP(S19,DATOS!$C$120:$R$127,15,FALSE)</f>
        <v>#N/A</v>
      </c>
      <c r="S19" s="1777"/>
    </row>
    <row r="20" spans="1:20" s="2" customFormat="1" ht="30" customHeight="1" thickBot="1" x14ac:dyDescent="0.3">
      <c r="A20" s="1265"/>
      <c r="B20" s="1738"/>
      <c r="C20" s="1772"/>
      <c r="D20" s="1736"/>
      <c r="E20" s="1738"/>
      <c r="F20" s="1736"/>
      <c r="G20" s="1774"/>
      <c r="H20" s="1736"/>
      <c r="I20" s="1738"/>
      <c r="J20" s="1736"/>
      <c r="K20" s="1739"/>
      <c r="L20" s="1744"/>
      <c r="M20" s="187"/>
      <c r="N20" s="1744"/>
      <c r="O20" s="1738"/>
      <c r="P20" s="1776"/>
      <c r="Q20" s="1014" t="e">
        <f>VLOOKUP(S19,DATOS!$C$120:$R$127,14,FALSE)</f>
        <v>#N/A</v>
      </c>
      <c r="R20" s="985" t="e">
        <f>VLOOKUP(S19,DATOS!$C$120:$R$127,16,FALSE)</f>
        <v>#N/A</v>
      </c>
      <c r="S20" s="1778"/>
    </row>
    <row r="21" spans="1:20" s="10" customFormat="1" ht="27.75" customHeight="1" thickBot="1" x14ac:dyDescent="0.3">
      <c r="A21" s="753" t="s">
        <v>550</v>
      </c>
      <c r="B21" s="96" t="e">
        <f>VLOOKUP(S21,DATOS!$C$130:$K$131,3,FALSE)</f>
        <v>#N/A</v>
      </c>
      <c r="C21" s="96" t="e">
        <f>VLOOKUP(S21,DATOS!$C$130:$K$131,4,FALSE)</f>
        <v>#N/A</v>
      </c>
      <c r="D21" s="1018" t="s">
        <v>193</v>
      </c>
      <c r="E21" s="96" t="e">
        <f>VLOOKUP(S21,DATOS!$C$130:$K$131,5,FALSE)</f>
        <v>#N/A</v>
      </c>
      <c r="F21" s="1018" t="s">
        <v>193</v>
      </c>
      <c r="G21" s="96" t="e">
        <f>VLOOKUP(S21,DATOS!$C$130:$K$131,6,FALSE)</f>
        <v>#N/A</v>
      </c>
      <c r="H21" s="1018" t="s">
        <v>193</v>
      </c>
      <c r="I21" s="96" t="e">
        <f>VLOOKUP(S21,DATOS!$C$130:$K$131,7,FALSE)</f>
        <v>#N/A</v>
      </c>
      <c r="J21" s="185" t="s">
        <v>193</v>
      </c>
      <c r="K21" s="101" t="e">
        <f t="shared" si="0"/>
        <v>#N/A</v>
      </c>
      <c r="L21" s="1018" t="s">
        <v>193</v>
      </c>
      <c r="M21" s="1016">
        <v>0</v>
      </c>
      <c r="N21" s="1016" t="s">
        <v>193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72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171</v>
      </c>
      <c r="E22" s="102" t="e">
        <f>VLOOKUP(S22,DATOS!$C$136:$K$151,5,FALSE)</f>
        <v>#N/A</v>
      </c>
      <c r="F22" s="103" t="s">
        <v>171</v>
      </c>
      <c r="G22" s="102" t="e">
        <f>VLOOKUP(S22,DATOS!$C$136:$K$151,6,FALSE)</f>
        <v>#N/A</v>
      </c>
      <c r="H22" s="103" t="s">
        <v>171</v>
      </c>
      <c r="I22" s="102" t="e">
        <f>VLOOKUP(S22,DATOS!$C$136:$K$151,7,FALSE)</f>
        <v>#N/A</v>
      </c>
      <c r="J22" s="103" t="s">
        <v>171</v>
      </c>
      <c r="K22" s="104" t="e">
        <f t="shared" si="0"/>
        <v>#N/A</v>
      </c>
      <c r="L22" s="103" t="s">
        <v>171</v>
      </c>
      <c r="M22" s="105">
        <v>0</v>
      </c>
      <c r="N22" s="103" t="s">
        <v>171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67" t="s">
        <v>73</v>
      </c>
      <c r="C24" s="1668"/>
      <c r="D24" s="1668"/>
      <c r="E24" s="1668"/>
      <c r="F24" s="1668"/>
      <c r="G24" s="1669"/>
      <c r="H24" s="10"/>
      <c r="I24" s="1779" t="s">
        <v>506</v>
      </c>
      <c r="J24" s="1780"/>
      <c r="K24" s="1780"/>
      <c r="L24" s="1780"/>
      <c r="M24" s="1780"/>
      <c r="N24" s="1780"/>
      <c r="O24" s="1780"/>
      <c r="P24" s="1780"/>
      <c r="Q24" s="1780"/>
      <c r="R24" s="1781"/>
    </row>
    <row r="25" spans="1:20" s="2" customFormat="1" ht="30" customHeight="1" thickBot="1" x14ac:dyDescent="0.3">
      <c r="A25" s="7"/>
      <c r="B25" s="1042" t="s">
        <v>74</v>
      </c>
      <c r="C25" s="1267"/>
      <c r="D25" s="1740" t="s">
        <v>1</v>
      </c>
      <c r="E25" s="1741"/>
      <c r="F25" s="1740" t="s">
        <v>0</v>
      </c>
      <c r="G25" s="1742"/>
      <c r="H25" s="10"/>
      <c r="I25" s="1731" t="s">
        <v>66</v>
      </c>
      <c r="J25" s="1733" t="s">
        <v>48</v>
      </c>
      <c r="K25" s="1733" t="s">
        <v>49</v>
      </c>
      <c r="L25" s="1733" t="s">
        <v>175</v>
      </c>
      <c r="M25" s="1733" t="s">
        <v>75</v>
      </c>
      <c r="N25" s="10"/>
      <c r="O25" s="1719" t="s">
        <v>76</v>
      </c>
      <c r="P25" s="1719" t="s">
        <v>77</v>
      </c>
      <c r="Q25" s="1719" t="s">
        <v>78</v>
      </c>
      <c r="R25" s="1721" t="s">
        <v>453</v>
      </c>
    </row>
    <row r="26" spans="1:20" s="2" customFormat="1" ht="30" customHeight="1" thickBot="1" x14ac:dyDescent="0.3">
      <c r="A26" s="1345"/>
      <c r="B26" s="1754" t="s">
        <v>43</v>
      </c>
      <c r="C26" s="1755"/>
      <c r="D26" s="1758" t="e">
        <f>VLOOKUP($A$26,DATOS!$B$24:$M$26,2,FALSE)</f>
        <v>#N/A</v>
      </c>
      <c r="E26" s="1782"/>
      <c r="F26" s="1758" t="e">
        <f>VLOOKUP($H$26,DATOS!$B$14:$N$16,2,FALSE)</f>
        <v>#N/A</v>
      </c>
      <c r="G26" s="1759"/>
      <c r="H26" s="1345"/>
      <c r="I26" s="1732"/>
      <c r="J26" s="1734"/>
      <c r="K26" s="1734"/>
      <c r="L26" s="1734"/>
      <c r="M26" s="1734"/>
      <c r="N26" s="10"/>
      <c r="O26" s="1720"/>
      <c r="P26" s="1720"/>
      <c r="Q26" s="1720"/>
      <c r="R26" s="1722"/>
    </row>
    <row r="27" spans="1:20" s="2" customFormat="1" ht="30" customHeight="1" thickBot="1" x14ac:dyDescent="0.3">
      <c r="A27" s="7"/>
      <c r="B27" s="1754" t="s">
        <v>44</v>
      </c>
      <c r="C27" s="1755"/>
      <c r="D27" s="1756" t="e">
        <f>VLOOKUP($A$26,DATOS!$B$24:$M$26,3,FALSE)</f>
        <v>#N/A</v>
      </c>
      <c r="E27" s="1757"/>
      <c r="F27" s="1756" t="e">
        <f>VLOOKUP($H$26,DATOS!$B$14:$N$16,3,FALSE)</f>
        <v>#N/A</v>
      </c>
      <c r="G27" s="1760"/>
      <c r="H27" s="10"/>
      <c r="I27" s="1270" t="s">
        <v>81</v>
      </c>
      <c r="J27" s="12">
        <v>3.7854109999999999</v>
      </c>
      <c r="K27" s="12">
        <v>3785.4110000000001</v>
      </c>
      <c r="L27" s="12">
        <v>231.00000854332629</v>
      </c>
      <c r="M27" s="18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15" t="e">
        <f>ABS(Q27)</f>
        <v>#N/A</v>
      </c>
    </row>
    <row r="28" spans="1:20" s="2" customFormat="1" ht="30" customHeight="1" thickBot="1" x14ac:dyDescent="0.3">
      <c r="A28" s="7"/>
      <c r="B28" s="1754" t="s">
        <v>28</v>
      </c>
      <c r="C28" s="1755"/>
      <c r="D28" s="1756" t="e">
        <f>VLOOKUP($A$26,DATOS!$B$24:$M$26,4,FALSE)</f>
        <v>#N/A</v>
      </c>
      <c r="E28" s="1757"/>
      <c r="F28" s="1756" t="e">
        <f>VLOOKUP($H$26,DATOS!$B$14:$N$16,4,FALSE)</f>
        <v>#N/A</v>
      </c>
      <c r="G28" s="1760"/>
      <c r="H28" s="10"/>
      <c r="I28" s="1270" t="s">
        <v>176</v>
      </c>
      <c r="J28" s="12">
        <v>1.6387059999999998E-2</v>
      </c>
      <c r="K28" s="12">
        <v>16.387059999999998</v>
      </c>
      <c r="L28" s="12">
        <v>1</v>
      </c>
      <c r="M28" s="18">
        <v>1155.0000427166315</v>
      </c>
      <c r="N28" s="10"/>
      <c r="O28" s="60" t="e">
        <f>O30/K28</f>
        <v>#N/A</v>
      </c>
      <c r="P28" s="1016" t="e">
        <f>(P30*L28)/K28</f>
        <v>#N/A</v>
      </c>
      <c r="Q28" s="109" t="e">
        <f>P28-O28</f>
        <v>#N/A</v>
      </c>
      <c r="R28" s="1008" t="e">
        <f t="shared" ref="R28:R29" si="4">ABS(Q28)</f>
        <v>#N/A</v>
      </c>
    </row>
    <row r="29" spans="1:20" s="2" customFormat="1" ht="30" customHeight="1" thickBot="1" x14ac:dyDescent="0.3">
      <c r="A29" s="7"/>
      <c r="B29" s="1754" t="s">
        <v>84</v>
      </c>
      <c r="C29" s="1755"/>
      <c r="D29" s="1016" t="e">
        <f>VLOOKUP($A$26,DATOS!$B$24:$M$26,5,FALSE)</f>
        <v>#N/A</v>
      </c>
      <c r="E29" s="1016" t="s">
        <v>3</v>
      </c>
      <c r="F29" s="1016" t="e">
        <f>VLOOKUP($H$26,DATOS!$B$14:$N$16,5,FALSE)</f>
        <v>#N/A</v>
      </c>
      <c r="G29" s="108" t="s">
        <v>3</v>
      </c>
      <c r="H29" s="10"/>
      <c r="I29" s="1270" t="s">
        <v>25</v>
      </c>
      <c r="J29" s="12">
        <v>1</v>
      </c>
      <c r="K29" s="12">
        <v>1000</v>
      </c>
      <c r="L29" s="12">
        <v>1.6387059999999998E-2</v>
      </c>
      <c r="M29" s="18">
        <v>18.927054999999999</v>
      </c>
      <c r="N29" s="10"/>
      <c r="O29" s="69" t="e">
        <f>O30/K29</f>
        <v>#N/A</v>
      </c>
      <c r="P29" s="1016" t="e">
        <f>(P30*J29)/K29</f>
        <v>#N/A</v>
      </c>
      <c r="Q29" s="109" t="e">
        <f>P29-O29</f>
        <v>#N/A</v>
      </c>
      <c r="R29" s="1008" t="e">
        <f t="shared" si="4"/>
        <v>#N/A</v>
      </c>
    </row>
    <row r="30" spans="1:20" s="2" customFormat="1" ht="30" customHeight="1" thickBot="1" x14ac:dyDescent="0.3">
      <c r="A30" s="7"/>
      <c r="B30" s="1754" t="s">
        <v>47</v>
      </c>
      <c r="C30" s="1755"/>
      <c r="D30" s="1016" t="e">
        <f>VLOOKUP($A$26,DATOS!$B$24:$M$26,6,FALSE)</f>
        <v>#N/A</v>
      </c>
      <c r="E30" s="1016" t="s">
        <v>9</v>
      </c>
      <c r="F30" s="1016" t="e">
        <f>VLOOKUP($H$26,DATOS!$B$14:$N$16,6,FALSE)</f>
        <v>#N/A</v>
      </c>
      <c r="G30" s="108" t="s">
        <v>9</v>
      </c>
      <c r="H30" s="10"/>
      <c r="I30" s="1270" t="s">
        <v>26</v>
      </c>
      <c r="J30" s="12">
        <v>1E-3</v>
      </c>
      <c r="K30" s="12">
        <v>1</v>
      </c>
      <c r="L30" s="12">
        <v>16.387059999999998</v>
      </c>
      <c r="M30" s="18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08" t="e">
        <f>ABS(Q30)</f>
        <v>#N/A</v>
      </c>
    </row>
    <row r="31" spans="1:20" s="2" customFormat="1" ht="30" customHeight="1" thickBot="1" x14ac:dyDescent="0.3">
      <c r="A31" s="7"/>
      <c r="B31" s="1754" t="s">
        <v>86</v>
      </c>
      <c r="C31" s="1755"/>
      <c r="D31" s="1016" t="e">
        <f>VLOOKUP($A$26,DATOS!$B$24:$M$26,7,FALSE)</f>
        <v>#N/A</v>
      </c>
      <c r="E31" s="1016" t="s">
        <v>4</v>
      </c>
      <c r="F31" s="1016" t="e">
        <f>VLOOKUP($H$26,DATOS!$B$14:$N$16,7,FALSE)</f>
        <v>#N/A</v>
      </c>
      <c r="G31" s="108" t="s">
        <v>4</v>
      </c>
      <c r="H31" s="10"/>
      <c r="I31" s="1271" t="s">
        <v>177</v>
      </c>
      <c r="J31" s="1038">
        <v>1E-3</v>
      </c>
      <c r="K31" s="1038">
        <v>1</v>
      </c>
      <c r="L31" s="1038">
        <v>16.387059999999998</v>
      </c>
      <c r="M31" s="1039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09" t="e">
        <f>ABS(Q31)</f>
        <v>#N/A</v>
      </c>
      <c r="T31" s="758"/>
    </row>
    <row r="32" spans="1:20" s="2" customFormat="1" ht="30" customHeight="1" thickBot="1" x14ac:dyDescent="0.3">
      <c r="A32" s="7"/>
      <c r="B32" s="1754" t="s">
        <v>42</v>
      </c>
      <c r="C32" s="1755"/>
      <c r="D32" s="1016" t="e">
        <f>VLOOKUP($A$26,DATOS!$B$24:$M$26,8,FALSE)</f>
        <v>#N/A</v>
      </c>
      <c r="E32" s="1016" t="s">
        <v>4</v>
      </c>
      <c r="F32" s="1016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754" t="s">
        <v>89</v>
      </c>
      <c r="C33" s="1755"/>
      <c r="D33" s="1016" t="e">
        <f>VLOOKUP($A$26,DATOS!$B$24:$M$26,9,FALSE)</f>
        <v>#N/A</v>
      </c>
      <c r="E33" s="1016" t="s">
        <v>180</v>
      </c>
      <c r="F33" s="1016" t="e">
        <f>VLOOKUP($H$26,DATOS!$B$14:$N$16,9,FALSE)</f>
        <v>#N/A</v>
      </c>
      <c r="G33" s="108" t="s">
        <v>180</v>
      </c>
      <c r="H33" s="7"/>
      <c r="I33" s="1723" t="s">
        <v>82</v>
      </c>
      <c r="J33" s="1724"/>
      <c r="K33" s="1725"/>
      <c r="L33" s="1726"/>
      <c r="N33" s="1727" t="s">
        <v>83</v>
      </c>
      <c r="O33" s="1728"/>
      <c r="P33" s="1729"/>
      <c r="Q33" s="1730"/>
      <c r="T33" s="758"/>
    </row>
    <row r="34" spans="1:25" s="2" customFormat="1" ht="30" customHeight="1" thickBot="1" x14ac:dyDescent="0.3">
      <c r="A34" s="7"/>
      <c r="B34" s="1754" t="s">
        <v>90</v>
      </c>
      <c r="C34" s="1755"/>
      <c r="D34" s="1016" t="e">
        <f>VLOOKUP($A$26,DATOS!$B$24:$M$26,10,FALSE)</f>
        <v>#N/A</v>
      </c>
      <c r="E34" s="1016" t="s">
        <v>13</v>
      </c>
      <c r="F34" s="1016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754" t="s">
        <v>91</v>
      </c>
      <c r="C35" s="1755"/>
      <c r="D35" s="1016" t="e">
        <f>VLOOKUP($A$26,DATOS!$B$24:$M$26,11,FALSE)</f>
        <v>#N/A</v>
      </c>
      <c r="E35" s="1016" t="s">
        <v>13</v>
      </c>
      <c r="F35" s="1016" t="e">
        <f>VLOOKUP($H$26,DATOS!$B$14:$N$16,11,FALSE)</f>
        <v>#N/A</v>
      </c>
      <c r="G35" s="108" t="s">
        <v>13</v>
      </c>
      <c r="H35" s="10"/>
      <c r="I35" s="1709" t="s">
        <v>562</v>
      </c>
      <c r="J35" s="1710"/>
      <c r="K35" s="1710"/>
      <c r="L35" s="1710"/>
      <c r="M35" s="1710"/>
      <c r="N35" s="1710"/>
      <c r="O35" s="1710"/>
      <c r="P35" s="1710"/>
      <c r="Q35" s="1151" t="s">
        <v>424</v>
      </c>
    </row>
    <row r="36" spans="1:25" s="2" customFormat="1" ht="30" customHeight="1" thickBot="1" x14ac:dyDescent="0.3">
      <c r="A36" s="7"/>
      <c r="B36" s="1754" t="s">
        <v>192</v>
      </c>
      <c r="C36" s="1755"/>
      <c r="D36" s="1016" t="e">
        <f>VLOOKUP($A$26,DATOS!$B$24:$M$26,12,FALSE)</f>
        <v>#N/A</v>
      </c>
      <c r="E36" s="1016" t="s">
        <v>180</v>
      </c>
      <c r="F36" s="1016" t="e">
        <f>D36</f>
        <v>#N/A</v>
      </c>
      <c r="G36" s="108" t="s">
        <v>180</v>
      </c>
      <c r="H36" s="10"/>
      <c r="I36" s="1711" t="s">
        <v>85</v>
      </c>
      <c r="J36" s="1712"/>
      <c r="K36" s="1713"/>
      <c r="L36" s="1714" t="s">
        <v>22</v>
      </c>
      <c r="M36" s="1715"/>
      <c r="N36" s="1716"/>
      <c r="O36" s="1020" t="s">
        <v>23</v>
      </c>
      <c r="P36" s="1150" t="s">
        <v>15</v>
      </c>
      <c r="Q36" s="178"/>
    </row>
    <row r="37" spans="1:25" s="2" customFormat="1" ht="30" customHeight="1" thickBot="1" x14ac:dyDescent="0.3">
      <c r="A37" s="7"/>
      <c r="B37" s="1754" t="s">
        <v>87</v>
      </c>
      <c r="C37" s="1755"/>
      <c r="D37" s="1016" t="e">
        <f>K58</f>
        <v>#N/A</v>
      </c>
      <c r="E37" s="105" t="s">
        <v>180</v>
      </c>
      <c r="F37" s="1016" t="e">
        <f>D37</f>
        <v>#N/A</v>
      </c>
      <c r="G37" s="113" t="s">
        <v>180</v>
      </c>
      <c r="H37" s="10"/>
      <c r="I37" s="1717" t="s">
        <v>442</v>
      </c>
      <c r="J37" s="1718"/>
      <c r="K37" s="170"/>
      <c r="L37" s="1717" t="s">
        <v>442</v>
      </c>
      <c r="M37" s="1718"/>
      <c r="N37" s="172"/>
      <c r="O37" s="1043" t="e">
        <f>AVERAGE(K37,N37)</f>
        <v>#DIV/0!</v>
      </c>
      <c r="P37" s="1044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717" t="s">
        <v>443</v>
      </c>
      <c r="J38" s="1718"/>
      <c r="K38" s="170"/>
      <c r="L38" s="1717" t="s">
        <v>443</v>
      </c>
      <c r="M38" s="1718"/>
      <c r="N38" s="172"/>
      <c r="O38" s="114" t="e">
        <f>AVERAGE(K38,N38)</f>
        <v>#DIV/0!</v>
      </c>
      <c r="P38" s="1044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99" t="s">
        <v>217</v>
      </c>
      <c r="C39" s="1700"/>
      <c r="D39" s="1701" t="e">
        <f>VLOOKUP(H39,DATOS!P9:R13,2,FALSE)</f>
        <v>#N/A</v>
      </c>
      <c r="E39" s="1702"/>
      <c r="F39" s="1702"/>
      <c r="G39" s="1703"/>
      <c r="H39" s="178"/>
      <c r="I39" s="1704" t="s">
        <v>444</v>
      </c>
      <c r="J39" s="1705"/>
      <c r="K39" s="171"/>
      <c r="L39" s="1704" t="s">
        <v>444</v>
      </c>
      <c r="M39" s="1705"/>
      <c r="N39" s="171"/>
      <c r="O39" s="115" t="e">
        <f>AVERAGE(K39,N39)</f>
        <v>#DIV/0!</v>
      </c>
      <c r="P39" s="1044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67" t="s">
        <v>604</v>
      </c>
      <c r="C41" s="1668"/>
      <c r="D41" s="1668"/>
      <c r="E41" s="1668"/>
      <c r="F41" s="1668"/>
      <c r="G41" s="1668"/>
      <c r="H41" s="1668"/>
      <c r="I41" s="1668"/>
      <c r="J41" s="1668"/>
      <c r="K41" s="1668"/>
      <c r="L41" s="1668"/>
      <c r="M41" s="1668"/>
      <c r="N41" s="1669"/>
      <c r="Q41" s="1706" t="s">
        <v>301</v>
      </c>
      <c r="R41" s="1707"/>
      <c r="S41" s="1707"/>
      <c r="T41" s="1707"/>
      <c r="U41" s="1707"/>
      <c r="V41" s="1707"/>
      <c r="W41" s="1707"/>
      <c r="X41" s="1707"/>
      <c r="Y41" s="1708"/>
    </row>
    <row r="42" spans="1:25" s="10" customFormat="1" ht="27.75" customHeight="1" thickBot="1" x14ac:dyDescent="0.3">
      <c r="B42" s="1692" t="s">
        <v>93</v>
      </c>
      <c r="C42" s="1693"/>
      <c r="D42" s="1693"/>
      <c r="E42" s="1693"/>
      <c r="F42" s="1693"/>
      <c r="G42" s="1694"/>
      <c r="I42" s="1692" t="s">
        <v>94</v>
      </c>
      <c r="J42" s="1693"/>
      <c r="K42" s="1693"/>
      <c r="L42" s="1693"/>
      <c r="M42" s="1693"/>
      <c r="N42" s="1694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345"/>
      <c r="B43" s="1152" t="s">
        <v>95</v>
      </c>
      <c r="C43" s="788" t="s">
        <v>553</v>
      </c>
      <c r="D43" s="789" t="s">
        <v>552</v>
      </c>
      <c r="E43" s="788" t="s">
        <v>97</v>
      </c>
      <c r="F43" s="788" t="s">
        <v>98</v>
      </c>
      <c r="G43" s="790" t="s">
        <v>99</v>
      </c>
      <c r="H43" s="10"/>
      <c r="I43" s="791" t="s">
        <v>96</v>
      </c>
      <c r="J43" s="789" t="s">
        <v>551</v>
      </c>
      <c r="K43" s="788" t="s">
        <v>97</v>
      </c>
      <c r="L43" s="788" t="s">
        <v>98</v>
      </c>
      <c r="M43" s="788" t="s">
        <v>99</v>
      </c>
      <c r="N43" s="790" t="s">
        <v>100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1153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154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101</v>
      </c>
      <c r="B46" s="1155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95" t="s">
        <v>554</v>
      </c>
      <c r="E47" s="1695"/>
      <c r="F47" s="1696"/>
      <c r="G47" s="766" t="e">
        <f>AVERAGE(D44:D46)</f>
        <v>#N/A</v>
      </c>
      <c r="H47" s="14"/>
      <c r="I47" s="765"/>
      <c r="J47" s="1695" t="s">
        <v>555</v>
      </c>
      <c r="K47" s="1695"/>
      <c r="L47" s="1696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67" t="s">
        <v>102</v>
      </c>
      <c r="F53" s="1668"/>
      <c r="G53" s="1668"/>
      <c r="H53" s="1668"/>
      <c r="I53" s="1668"/>
      <c r="J53" s="1668"/>
      <c r="K53" s="1668"/>
      <c r="L53" s="1669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97" t="s">
        <v>95</v>
      </c>
      <c r="F54" s="1698"/>
      <c r="G54" s="189" t="s">
        <v>178</v>
      </c>
      <c r="H54" s="190" t="s">
        <v>179</v>
      </c>
      <c r="I54" s="10"/>
      <c r="J54" s="191"/>
      <c r="K54" s="192"/>
      <c r="L54" s="193"/>
      <c r="M54" s="7"/>
      <c r="N54" s="194" t="s">
        <v>4</v>
      </c>
      <c r="O54" s="1685" t="s">
        <v>103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687">
        <v>1</v>
      </c>
      <c r="F55" s="1688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9">
        <v>1</v>
      </c>
      <c r="K55" s="118" t="e">
        <f>(-0.1176*((D44+J44)/2)^2+(15.846*(D44+J44)/2)-62.677)*10^-6</f>
        <v>#N/A</v>
      </c>
      <c r="L55" s="119" t="s">
        <v>180</v>
      </c>
      <c r="M55" s="10"/>
      <c r="N55" s="830">
        <v>8.1940000000000008</v>
      </c>
      <c r="O55" s="1686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687">
        <v>2</v>
      </c>
      <c r="F56" s="1688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9">
        <v>2</v>
      </c>
      <c r="K56" s="118" t="e">
        <f>(-0.1176*((D45+J45)/2)^2+(15.846*(D45+J45)/2)-62.677)*10^-6</f>
        <v>#N/A</v>
      </c>
      <c r="L56" s="119" t="s">
        <v>180</v>
      </c>
      <c r="N56" s="196" t="s">
        <v>304</v>
      </c>
      <c r="O56" s="1689" t="s">
        <v>181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687">
        <v>3</v>
      </c>
      <c r="F57" s="1688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9">
        <v>3</v>
      </c>
      <c r="K57" s="118" t="e">
        <f>(-0.1176*((D46+J46)/2)^2+(15.846*(D46+J46)/2)-62.677)*10^-6</f>
        <v>#N/A</v>
      </c>
      <c r="L57" s="119" t="s">
        <v>180</v>
      </c>
      <c r="N57" s="120">
        <v>0.5</v>
      </c>
      <c r="O57" s="1686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79" t="s">
        <v>182</v>
      </c>
      <c r="F58" s="1680"/>
      <c r="G58" s="1681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180</v>
      </c>
      <c r="N58" s="1079"/>
      <c r="O58" s="1690"/>
      <c r="P58" s="1080"/>
      <c r="Q58" s="1081"/>
      <c r="R58" s="1082"/>
    </row>
    <row r="59" spans="1:18" s="2" customFormat="1" ht="30" customHeight="1" thickBot="1" x14ac:dyDescent="0.3">
      <c r="A59" s="7"/>
      <c r="E59" s="1679" t="s">
        <v>183</v>
      </c>
      <c r="F59" s="1680"/>
      <c r="G59" s="1681"/>
      <c r="H59" s="121" t="e">
        <f>_xlfn.STDEV.S(H55:H57)</f>
        <v>#N/A</v>
      </c>
      <c r="I59" s="7"/>
      <c r="N59" s="1083"/>
      <c r="O59" s="1691"/>
      <c r="P59" s="1084"/>
      <c r="Q59" s="1085"/>
      <c r="R59" s="1086"/>
    </row>
    <row r="60" spans="1:18" s="2" customFormat="1" ht="30" customHeight="1" thickBot="1" x14ac:dyDescent="0.3">
      <c r="A60" s="7"/>
      <c r="B60" s="10"/>
      <c r="E60" s="1682" t="s">
        <v>104</v>
      </c>
      <c r="F60" s="1683"/>
      <c r="G60" s="1684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67" t="s">
        <v>105</v>
      </c>
      <c r="C64" s="1668"/>
      <c r="D64" s="1668"/>
      <c r="E64" s="1668"/>
      <c r="F64" s="1668"/>
      <c r="G64" s="1668"/>
      <c r="H64" s="1668"/>
      <c r="I64" s="1668"/>
      <c r="J64" s="1668"/>
      <c r="K64" s="1668"/>
      <c r="L64" s="1669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275" t="s">
        <v>106</v>
      </c>
      <c r="L65" s="1276" t="s">
        <v>66</v>
      </c>
      <c r="M65" s="10"/>
      <c r="N65" s="1272" t="s">
        <v>66</v>
      </c>
      <c r="O65" s="1273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77" t="s">
        <v>220</v>
      </c>
      <c r="C66" s="1678"/>
      <c r="D66" s="1678"/>
      <c r="E66" s="1264"/>
      <c r="F66" s="126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412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77" t="s">
        <v>221</v>
      </c>
      <c r="C68" s="1678"/>
      <c r="D68" s="1678"/>
      <c r="E68" s="1678"/>
      <c r="F68" s="1264"/>
      <c r="G68" s="125"/>
      <c r="H68" s="125"/>
      <c r="I68" s="125"/>
      <c r="J68" s="126"/>
      <c r="K68" s="127" t="e">
        <f>$O$66*(O74-O78)</f>
        <v>#N/A</v>
      </c>
      <c r="L68" s="696" t="s">
        <v>445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77" t="s">
        <v>222</v>
      </c>
      <c r="C70" s="1678"/>
      <c r="D70" s="1678"/>
      <c r="E70" s="1678"/>
      <c r="F70" s="1264"/>
      <c r="G70" s="125"/>
      <c r="H70" s="125"/>
      <c r="I70" s="125"/>
      <c r="J70" s="126"/>
      <c r="K70" s="127" t="e">
        <f>$O$66*(O78-P76)</f>
        <v>#N/A</v>
      </c>
      <c r="L70" s="696" t="s">
        <v>445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77" t="s">
        <v>219</v>
      </c>
      <c r="C72" s="1678"/>
      <c r="D72" s="1678"/>
      <c r="E72" s="1678"/>
      <c r="F72" s="1678"/>
      <c r="G72" s="125"/>
      <c r="H72" s="125"/>
      <c r="I72" s="125"/>
      <c r="J72" s="126"/>
      <c r="K72" s="127" t="e">
        <f>-O$66*(O72-O68)</f>
        <v>#N/A</v>
      </c>
      <c r="L72" s="696" t="s">
        <v>413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77" t="s">
        <v>218</v>
      </c>
      <c r="C74" s="1678"/>
      <c r="D74" s="1678"/>
      <c r="E74" s="1678"/>
      <c r="F74" s="1678"/>
      <c r="G74" s="129"/>
      <c r="H74" s="129"/>
      <c r="I74" s="129"/>
      <c r="J74" s="126"/>
      <c r="K74" s="127" t="e">
        <f>$O$66*(P80-P70)</f>
        <v>#N/A</v>
      </c>
      <c r="L74" s="696" t="s">
        <v>413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77" t="s">
        <v>107</v>
      </c>
      <c r="C76" s="1678"/>
      <c r="D76" s="1678"/>
      <c r="E76" s="1678"/>
      <c r="F76" s="1678"/>
      <c r="G76" s="125"/>
      <c r="H76" s="125"/>
      <c r="I76" s="125"/>
      <c r="J76" s="126"/>
      <c r="K76" s="127" t="e">
        <f>$O$66*(P70-O68)</f>
        <v>#N/A</v>
      </c>
      <c r="L76" s="696" t="s">
        <v>413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77" t="s">
        <v>108</v>
      </c>
      <c r="C78" s="1678"/>
      <c r="D78" s="1678"/>
      <c r="E78" s="130"/>
      <c r="F78" s="130"/>
      <c r="G78" s="129"/>
      <c r="H78" s="129"/>
      <c r="I78" s="129"/>
      <c r="J78" s="126"/>
      <c r="K78" s="131">
        <v>1</v>
      </c>
      <c r="L78" s="696" t="s">
        <v>412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77" t="s">
        <v>109</v>
      </c>
      <c r="C80" s="1678"/>
      <c r="D80" s="1678"/>
      <c r="E80" s="130"/>
      <c r="F80" s="130"/>
      <c r="G80" s="129"/>
      <c r="H80" s="129"/>
      <c r="I80" s="129"/>
      <c r="J80" s="126"/>
      <c r="K80" s="131">
        <v>1</v>
      </c>
      <c r="L80" s="696" t="s">
        <v>412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77" t="s">
        <v>110</v>
      </c>
      <c r="C82" s="1678"/>
      <c r="D82" s="1678"/>
      <c r="E82" s="1264"/>
      <c r="F82" s="1264"/>
      <c r="G82" s="125"/>
      <c r="H82" s="125"/>
      <c r="I82" s="125"/>
      <c r="J82" s="126"/>
      <c r="K82" s="131">
        <v>1</v>
      </c>
      <c r="L82" s="696" t="s">
        <v>412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67" t="s">
        <v>111</v>
      </c>
      <c r="C86" s="1668"/>
      <c r="D86" s="1668"/>
      <c r="E86" s="1668"/>
      <c r="F86" s="1668"/>
      <c r="G86" s="1668"/>
      <c r="H86" s="1668"/>
      <c r="I86" s="1668"/>
      <c r="J86" s="1668"/>
      <c r="K86" s="1668"/>
      <c r="L86" s="1668"/>
      <c r="M86" s="1668"/>
      <c r="N86" s="1668"/>
      <c r="O86" s="1668"/>
      <c r="P86" s="1668"/>
      <c r="Q86" s="1669"/>
    </row>
    <row r="87" spans="1:18" s="2" customFormat="1" ht="39.950000000000003" customHeight="1" x14ac:dyDescent="0.25">
      <c r="B87" s="1670" t="s">
        <v>112</v>
      </c>
      <c r="C87" s="1671"/>
      <c r="D87" s="1019" t="s">
        <v>184</v>
      </c>
      <c r="E87" s="671" t="s">
        <v>113</v>
      </c>
      <c r="F87" s="1019"/>
      <c r="G87" s="1019" t="s">
        <v>114</v>
      </c>
      <c r="H87" s="672" t="s">
        <v>115</v>
      </c>
      <c r="I87" s="1019"/>
      <c r="J87" s="1275" t="s">
        <v>116</v>
      </c>
      <c r="K87" s="1019"/>
      <c r="L87" s="1275" t="s">
        <v>117</v>
      </c>
      <c r="M87" s="1019"/>
      <c r="N87" s="1275" t="s">
        <v>456</v>
      </c>
      <c r="O87" s="1275" t="s">
        <v>118</v>
      </c>
      <c r="P87" s="1275" t="s">
        <v>119</v>
      </c>
      <c r="Q87" s="132" t="s">
        <v>120</v>
      </c>
    </row>
    <row r="88" spans="1:18" s="2" customFormat="1" ht="39.950000000000003" customHeight="1" x14ac:dyDescent="0.25">
      <c r="A88" s="7"/>
      <c r="B88" s="1672" t="s">
        <v>121</v>
      </c>
      <c r="C88" s="1673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263"/>
      <c r="O88" s="134"/>
      <c r="P88" s="134"/>
      <c r="Q88" s="135"/>
    </row>
    <row r="89" spans="1:18" s="38" customFormat="1" ht="39.950000000000003" customHeight="1" x14ac:dyDescent="0.25">
      <c r="B89" s="1665" t="s">
        <v>122</v>
      </c>
      <c r="C89" s="1666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123</v>
      </c>
      <c r="Q89" s="41">
        <v>50</v>
      </c>
    </row>
    <row r="90" spans="1:18" s="2" customFormat="1" ht="39.950000000000003" customHeight="1" x14ac:dyDescent="0.25">
      <c r="A90" s="1674"/>
      <c r="B90" s="1665" t="s">
        <v>124</v>
      </c>
      <c r="C90" s="1666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74"/>
      <c r="B91" s="1675"/>
      <c r="C91" s="1676"/>
      <c r="D91" s="1269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7"/>
      <c r="R91" s="7"/>
    </row>
    <row r="92" spans="1:18" s="38" customFormat="1" ht="39.950000000000003" customHeight="1" x14ac:dyDescent="0.25">
      <c r="B92" s="1665" t="s">
        <v>223</v>
      </c>
      <c r="C92" s="1666"/>
      <c r="D92" s="159" t="e">
        <f>C18</f>
        <v>#N/A</v>
      </c>
      <c r="E92" s="1025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7"/>
    </row>
    <row r="93" spans="1:18" s="2" customFormat="1" ht="39.950000000000003" customHeight="1" x14ac:dyDescent="0.25">
      <c r="A93" s="10"/>
      <c r="B93" s="1665" t="s">
        <v>224</v>
      </c>
      <c r="C93" s="1666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123</v>
      </c>
      <c r="Q93" s="41">
        <v>50</v>
      </c>
      <c r="R93" s="7"/>
    </row>
    <row r="94" spans="1:18" s="38" customFormat="1" ht="39.950000000000003" customHeight="1" x14ac:dyDescent="0.25">
      <c r="B94" s="1665" t="s">
        <v>225</v>
      </c>
      <c r="C94" s="1666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65" t="s">
        <v>226</v>
      </c>
      <c r="C95" s="1666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65" t="s">
        <v>125</v>
      </c>
      <c r="C97" s="1666"/>
      <c r="D97" s="159" t="e">
        <f>G47</f>
        <v>#N/A</v>
      </c>
      <c r="E97" s="160" t="e">
        <f>G47</f>
        <v>#N/A</v>
      </c>
      <c r="F97" s="137" t="s">
        <v>3</v>
      </c>
      <c r="G97" s="1026"/>
      <c r="H97" s="1026"/>
      <c r="I97" s="1026"/>
      <c r="J97" s="161"/>
      <c r="K97" s="1026"/>
      <c r="L97" s="1026"/>
      <c r="M97" s="1026"/>
      <c r="N97" s="1026"/>
      <c r="O97" s="1026"/>
      <c r="P97" s="1026"/>
      <c r="Q97" s="1027"/>
      <c r="R97" s="7"/>
    </row>
    <row r="98" spans="1:90" s="2" customFormat="1" ht="39.950000000000003" customHeight="1" x14ac:dyDescent="0.25">
      <c r="A98" s="10"/>
      <c r="B98" s="1665" t="s">
        <v>126</v>
      </c>
      <c r="C98" s="1666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665" t="s">
        <v>127</v>
      </c>
      <c r="C99" s="1666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123</v>
      </c>
      <c r="Q99" s="41">
        <v>50</v>
      </c>
    </row>
    <row r="100" spans="1:90" s="2" customFormat="1" ht="39.950000000000003" customHeight="1" x14ac:dyDescent="0.25">
      <c r="A100" s="10"/>
      <c r="B100" s="1665" t="s">
        <v>124</v>
      </c>
      <c r="C100" s="1666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665" t="s">
        <v>128</v>
      </c>
      <c r="C101" s="1666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665" t="s">
        <v>129</v>
      </c>
      <c r="C102" s="1666"/>
      <c r="D102" s="159" t="e">
        <f>M47</f>
        <v>#N/A</v>
      </c>
      <c r="E102" s="160">
        <f>M50</f>
        <v>0</v>
      </c>
      <c r="F102" s="137" t="str">
        <f>F14</f>
        <v>°C</v>
      </c>
      <c r="G102" s="1026"/>
      <c r="H102" s="1026"/>
      <c r="I102" s="673"/>
      <c r="J102" s="161"/>
      <c r="K102" s="1026"/>
      <c r="L102" s="1026"/>
      <c r="M102" s="1026"/>
      <c r="N102" s="1026"/>
      <c r="O102" s="1026"/>
      <c r="P102" s="1026"/>
      <c r="Q102" s="1027"/>
      <c r="R102" s="7"/>
    </row>
    <row r="103" spans="1:90" s="2" customFormat="1" ht="39.950000000000003" customHeight="1" x14ac:dyDescent="0.25">
      <c r="A103" s="10"/>
      <c r="B103" s="1665" t="s">
        <v>126</v>
      </c>
      <c r="C103" s="1666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645" t="s">
        <v>127</v>
      </c>
      <c r="C104" s="1646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123</v>
      </c>
      <c r="Q104" s="41">
        <v>50</v>
      </c>
    </row>
    <row r="105" spans="1:90" s="2" customFormat="1" ht="39.950000000000003" customHeight="1" x14ac:dyDescent="0.25">
      <c r="A105" s="10"/>
      <c r="B105" s="1645" t="s">
        <v>124</v>
      </c>
      <c r="C105" s="1646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645" t="s">
        <v>128</v>
      </c>
      <c r="C106" s="1646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645" t="s">
        <v>194</v>
      </c>
      <c r="C107" s="1646"/>
      <c r="D107" s="165" t="e">
        <f>D37</f>
        <v>#N/A</v>
      </c>
      <c r="E107" s="166" t="e">
        <f>D37</f>
        <v>#N/A</v>
      </c>
      <c r="F107" s="40" t="s">
        <v>10</v>
      </c>
      <c r="G107" s="1026"/>
      <c r="H107" s="1026"/>
      <c r="I107" s="1026"/>
      <c r="J107" s="161"/>
      <c r="K107" s="1026"/>
      <c r="L107" s="1026"/>
      <c r="M107" s="1026"/>
      <c r="N107" s="1026"/>
      <c r="O107" s="1026"/>
      <c r="P107" s="1026"/>
      <c r="Q107" s="1027"/>
      <c r="R107" s="7"/>
    </row>
    <row r="108" spans="1:90" s="38" customFormat="1" ht="39.950000000000003" customHeight="1" x14ac:dyDescent="0.25">
      <c r="A108" s="10"/>
      <c r="B108" s="1645" t="s">
        <v>558</v>
      </c>
      <c r="C108" s="1646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411</v>
      </c>
      <c r="J108" s="138" t="e">
        <f>K76</f>
        <v>#N/A</v>
      </c>
      <c r="K108" s="703" t="s">
        <v>413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130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645" t="s">
        <v>557</v>
      </c>
      <c r="C109" s="1646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411</v>
      </c>
      <c r="J109" s="160" t="e">
        <f>K72</f>
        <v>#N/A</v>
      </c>
      <c r="K109" s="703" t="s">
        <v>413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131</v>
      </c>
      <c r="P109" s="40" t="s">
        <v>5</v>
      </c>
      <c r="Q109" s="41" t="s">
        <v>11</v>
      </c>
      <c r="R109" s="45"/>
      <c r="S109" s="7"/>
      <c r="T109" s="7"/>
      <c r="U109" s="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645" t="s">
        <v>557</v>
      </c>
      <c r="C110" s="1646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411</v>
      </c>
      <c r="J110" s="160" t="e">
        <f>K74</f>
        <v>#N/A</v>
      </c>
      <c r="K110" s="703" t="s">
        <v>413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132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645" t="s">
        <v>557</v>
      </c>
      <c r="C111" s="1646"/>
      <c r="D111" s="199" t="s">
        <v>31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411</v>
      </c>
      <c r="J111" s="202" t="e">
        <f>D36</f>
        <v>#N/A</v>
      </c>
      <c r="K111" s="703" t="s">
        <v>413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132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647" t="s">
        <v>133</v>
      </c>
      <c r="C113" s="1648"/>
      <c r="D113" s="1648"/>
      <c r="E113" s="1648"/>
      <c r="F113" s="1648"/>
      <c r="G113" s="1648"/>
      <c r="H113" s="1648"/>
      <c r="I113" s="1648"/>
      <c r="J113" s="1648"/>
      <c r="K113" s="1648"/>
      <c r="L113" s="1648"/>
      <c r="M113" s="1648"/>
      <c r="N113" s="1648"/>
      <c r="O113" s="1648"/>
      <c r="P113" s="1648"/>
      <c r="Q113" s="1649"/>
      <c r="R113" s="7"/>
    </row>
    <row r="114" spans="1:31" s="2" customFormat="1" ht="30" customHeight="1" x14ac:dyDescent="0.25">
      <c r="A114" s="10"/>
      <c r="B114" s="1650" t="s">
        <v>134</v>
      </c>
      <c r="C114" s="1651"/>
      <c r="D114" s="1259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652" t="s">
        <v>135</v>
      </c>
      <c r="C115" s="1653"/>
      <c r="D115" s="1260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652" t="s">
        <v>136</v>
      </c>
      <c r="C116" s="1653"/>
      <c r="D116" s="1260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123</v>
      </c>
      <c r="Q116" s="41">
        <f>B46-1</f>
        <v>2</v>
      </c>
      <c r="S116" s="2"/>
      <c r="T116" s="2"/>
      <c r="U116" s="2"/>
    </row>
    <row r="117" spans="1:31" s="9" customFormat="1" ht="30" customHeight="1" thickBot="1" x14ac:dyDescent="0.3">
      <c r="A117" s="72" t="s">
        <v>137</v>
      </c>
      <c r="B117" s="1654" t="s">
        <v>138</v>
      </c>
      <c r="C117" s="1655"/>
      <c r="D117" s="1261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139</v>
      </c>
      <c r="P117" s="42" t="s">
        <v>5</v>
      </c>
      <c r="Q117" s="44" t="s">
        <v>11</v>
      </c>
      <c r="R117" s="51"/>
      <c r="S117" s="2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2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636" t="s">
        <v>587</v>
      </c>
      <c r="C119" s="1637"/>
      <c r="D119" s="1637"/>
      <c r="E119" s="1637"/>
      <c r="F119" s="1637"/>
      <c r="G119" s="1637"/>
      <c r="H119" s="1637"/>
      <c r="I119" s="1637"/>
      <c r="J119" s="1638"/>
      <c r="K119" s="10"/>
      <c r="L119" s="1639" t="s">
        <v>140</v>
      </c>
      <c r="M119" s="1640"/>
      <c r="N119" s="384" t="e">
        <f>E121*N118</f>
        <v>#N/A</v>
      </c>
      <c r="O119" s="10"/>
      <c r="P119" s="10"/>
      <c r="R119" s="51"/>
      <c r="S119" s="2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051"/>
      <c r="C120" s="1047" t="s">
        <v>142</v>
      </c>
      <c r="D120" s="1048" t="s">
        <v>143</v>
      </c>
      <c r="E120" s="1048" t="s">
        <v>114</v>
      </c>
      <c r="F120" s="1048" t="s">
        <v>7</v>
      </c>
      <c r="G120" s="1048" t="s">
        <v>446</v>
      </c>
      <c r="H120" s="1048" t="s">
        <v>8</v>
      </c>
      <c r="I120" s="1048" t="s">
        <v>144</v>
      </c>
      <c r="J120" s="1050" t="s">
        <v>145</v>
      </c>
      <c r="K120" s="52"/>
      <c r="L120" s="1641" t="s">
        <v>17</v>
      </c>
      <c r="M120" s="1642"/>
      <c r="N120" s="382" t="e">
        <f>(N118^4)/((L89^4/Q89)+(L99^4/Q99)+(L104^4/Q104)+(L93^4/Q93)+(L116^4/Q116))</f>
        <v>#N/A</v>
      </c>
      <c r="O120" s="10"/>
    </row>
    <row r="121" spans="1:31" s="2" customFormat="1" ht="30" customHeight="1" thickBot="1" x14ac:dyDescent="0.3">
      <c r="A121" s="7"/>
      <c r="B121" s="1107" t="s">
        <v>4</v>
      </c>
      <c r="C121" s="668" t="e">
        <f>H58</f>
        <v>#N/A</v>
      </c>
      <c r="D121" s="1053" t="e">
        <f>N118</f>
        <v>#N/A</v>
      </c>
      <c r="E121" s="1656">
        <v>2</v>
      </c>
      <c r="F121" s="1057" t="e">
        <f>(D121*E121)</f>
        <v>#N/A</v>
      </c>
      <c r="G121" s="1659">
        <v>95.45</v>
      </c>
      <c r="H121" s="1055" t="e">
        <f>C121-C7</f>
        <v>#N/A</v>
      </c>
      <c r="I121" s="669" t="e">
        <f>ABS(H121)</f>
        <v>#N/A</v>
      </c>
      <c r="J121" s="717" t="e">
        <f>F121*I121</f>
        <v>#N/A</v>
      </c>
      <c r="K121" s="53"/>
      <c r="O121" s="7"/>
    </row>
    <row r="122" spans="1:31" s="2" customFormat="1" ht="30" customHeight="1" thickBot="1" x14ac:dyDescent="0.3">
      <c r="A122" s="7"/>
      <c r="B122" s="1046" t="s">
        <v>507</v>
      </c>
      <c r="C122" s="369" t="e">
        <f>C121/L30</f>
        <v>#N/A</v>
      </c>
      <c r="D122" s="694" t="e">
        <f>D121/L30</f>
        <v>#N/A</v>
      </c>
      <c r="E122" s="1657"/>
      <c r="F122" s="695" t="e">
        <f>D122*E121</f>
        <v>#N/A</v>
      </c>
      <c r="G122" s="1660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643" t="s">
        <v>114</v>
      </c>
      <c r="N122" s="1644"/>
      <c r="O122" s="7"/>
      <c r="P122" s="1093">
        <v>0.3</v>
      </c>
      <c r="Q122" s="1093">
        <v>1.65</v>
      </c>
    </row>
    <row r="123" spans="1:31" s="10" customFormat="1" ht="36.75" customHeight="1" thickBot="1" x14ac:dyDescent="0.3">
      <c r="B123" s="1046" t="s">
        <v>9</v>
      </c>
      <c r="C123" s="1056" t="e">
        <f>C122/L27</f>
        <v>#N/A</v>
      </c>
      <c r="D123" s="1054" t="e">
        <f>D122/L27</f>
        <v>#N/A</v>
      </c>
      <c r="E123" s="1657"/>
      <c r="F123" s="1058" t="e">
        <f>D123*E121</f>
        <v>#N/A</v>
      </c>
      <c r="G123" s="1660"/>
      <c r="H123" s="1056" t="e">
        <f>H122/L27</f>
        <v>#N/A</v>
      </c>
      <c r="I123" s="1049" t="e">
        <f>ABS(H123)</f>
        <v>#N/A</v>
      </c>
      <c r="J123" s="1052" t="e">
        <f>F123*I123</f>
        <v>#N/A</v>
      </c>
      <c r="M123" s="1088" t="e">
        <f>_xlfn.T.INV.2T(0.05,N120)</f>
        <v>#N/A</v>
      </c>
      <c r="N123" s="1089" t="e">
        <f>TINV(0.05,N120)</f>
        <v>#N/A</v>
      </c>
      <c r="P123" s="1662" t="s">
        <v>513</v>
      </c>
      <c r="Q123" s="1663"/>
      <c r="R123" s="1664"/>
      <c r="S123" s="2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05" t="s">
        <v>400</v>
      </c>
      <c r="C124" s="1106" t="e">
        <f>(C121*100)/C7</f>
        <v>#N/A</v>
      </c>
      <c r="D124" s="1062" t="e">
        <f>(D123/M27)</f>
        <v>#N/A</v>
      </c>
      <c r="E124" s="1658"/>
      <c r="F124" s="1061" t="e">
        <f>(D124*E121)</f>
        <v>#N/A</v>
      </c>
      <c r="G124" s="1661"/>
      <c r="H124" s="1060" t="e">
        <f>(H123*100)/M27</f>
        <v>#N/A</v>
      </c>
      <c r="I124" s="670" t="e">
        <f>(I123*100)/M27</f>
        <v>#N/A</v>
      </c>
      <c r="J124" s="1059" t="e">
        <f>(J123*100)/M27</f>
        <v>#N/A</v>
      </c>
      <c r="K124" s="7"/>
      <c r="L124" s="7"/>
      <c r="M124" s="1092" t="s">
        <v>502</v>
      </c>
      <c r="N124" s="1091" t="e">
        <f>MAX(N89:N111,N114:N117)</f>
        <v>#N/A</v>
      </c>
      <c r="O124" s="1090" t="e">
        <f>IF((N125)&lt;=(P122),"1,65","k=2")</f>
        <v>#N/A</v>
      </c>
      <c r="P124" s="1094" t="s">
        <v>508</v>
      </c>
      <c r="Q124" s="1095" t="s">
        <v>509</v>
      </c>
      <c r="R124" s="1096" t="s">
        <v>510</v>
      </c>
      <c r="V124" s="1762"/>
      <c r="W124" s="1762"/>
      <c r="X124" s="1762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090" t="s">
        <v>512</v>
      </c>
      <c r="N125" s="1147" t="e">
        <f>(SQRT(SUM(N90,N93:N95,N98:N101,N103:N106,N108:N110,N111,N114,N115,N116,N117,)))/N124</f>
        <v>#N/A</v>
      </c>
      <c r="O125" s="211"/>
      <c r="P125" s="1097" t="s">
        <v>508</v>
      </c>
      <c r="Q125" s="1098" t="s">
        <v>514</v>
      </c>
      <c r="R125" s="1099" t="s">
        <v>511</v>
      </c>
      <c r="V125" s="1761"/>
      <c r="W125" s="1761"/>
      <c r="X125" s="1761"/>
    </row>
  </sheetData>
  <sheetProtection algorithmName="SHA-512" hashValue="L/SxFX/WrT86w4SeEIAXvwSLh7eQOiAE+NfeOn3dvjXM/5J9+1Fa10x1ocWRRWKlJSA0AWG4V7YlDWbjrq1ZXQ==" saltValue="Iqpq46HClbL7bZWiVRs1DQ==" spinCount="100000" sheet="1" objects="1" scenarios="1"/>
  <mergeCells count="139">
    <mergeCell ref="B32:C32"/>
    <mergeCell ref="B33:C33"/>
    <mergeCell ref="B34:C34"/>
    <mergeCell ref="B35:C35"/>
    <mergeCell ref="B36:C36"/>
    <mergeCell ref="B37:C37"/>
    <mergeCell ref="V125:X125"/>
    <mergeCell ref="V124:X124"/>
    <mergeCell ref="A5:R5"/>
    <mergeCell ref="Q6:R6"/>
    <mergeCell ref="A8:A12"/>
    <mergeCell ref="A13:A17"/>
    <mergeCell ref="B19:B20"/>
    <mergeCell ref="C19:C20"/>
    <mergeCell ref="D19:D20"/>
    <mergeCell ref="E19:E20"/>
    <mergeCell ref="F19:F20"/>
    <mergeCell ref="G19:G20"/>
    <mergeCell ref="O19:O20"/>
    <mergeCell ref="P19:P20"/>
    <mergeCell ref="S19:S20"/>
    <mergeCell ref="B24:G24"/>
    <mergeCell ref="I24:R24"/>
    <mergeCell ref="D26:E26"/>
    <mergeCell ref="B26:C26"/>
    <mergeCell ref="B27:C27"/>
    <mergeCell ref="B28:C28"/>
    <mergeCell ref="B29:C29"/>
    <mergeCell ref="B30:C30"/>
    <mergeCell ref="B31:C31"/>
    <mergeCell ref="D27:E27"/>
    <mergeCell ref="D28:E28"/>
    <mergeCell ref="F26:G26"/>
    <mergeCell ref="F27:G27"/>
    <mergeCell ref="F28:G28"/>
    <mergeCell ref="H19:H20"/>
    <mergeCell ref="I19:I20"/>
    <mergeCell ref="J19:J20"/>
    <mergeCell ref="K19:K20"/>
    <mergeCell ref="D25:E25"/>
    <mergeCell ref="F25:G25"/>
    <mergeCell ref="L19:L20"/>
    <mergeCell ref="A1:B1"/>
    <mergeCell ref="D1:R1"/>
    <mergeCell ref="D3:E3"/>
    <mergeCell ref="G3:H3"/>
    <mergeCell ref="J3:K3"/>
    <mergeCell ref="M3:N3"/>
    <mergeCell ref="P3:R3"/>
    <mergeCell ref="N19:N20"/>
    <mergeCell ref="Q41:Y41"/>
    <mergeCell ref="I35:P35"/>
    <mergeCell ref="I36:K36"/>
    <mergeCell ref="L36:N36"/>
    <mergeCell ref="I37:J37"/>
    <mergeCell ref="L37:M37"/>
    <mergeCell ref="I38:J38"/>
    <mergeCell ref="L38:M38"/>
    <mergeCell ref="O25:O26"/>
    <mergeCell ref="P25:P26"/>
    <mergeCell ref="Q25:Q26"/>
    <mergeCell ref="R25:R26"/>
    <mergeCell ref="I33:J33"/>
    <mergeCell ref="K33:L33"/>
    <mergeCell ref="N33:O33"/>
    <mergeCell ref="P33:Q33"/>
    <mergeCell ref="I25:I26"/>
    <mergeCell ref="J25:J26"/>
    <mergeCell ref="K25:K26"/>
    <mergeCell ref="L25:L26"/>
    <mergeCell ref="M25:M26"/>
    <mergeCell ref="B42:G42"/>
    <mergeCell ref="I42:N42"/>
    <mergeCell ref="D47:F47"/>
    <mergeCell ref="J47:L47"/>
    <mergeCell ref="E53:L53"/>
    <mergeCell ref="E54:F54"/>
    <mergeCell ref="B39:C39"/>
    <mergeCell ref="D39:G39"/>
    <mergeCell ref="I39:J39"/>
    <mergeCell ref="L39:M39"/>
    <mergeCell ref="B41:N41"/>
    <mergeCell ref="E59:G59"/>
    <mergeCell ref="E60:G60"/>
    <mergeCell ref="B64:L64"/>
    <mergeCell ref="B66:D66"/>
    <mergeCell ref="B68:E68"/>
    <mergeCell ref="B70:E70"/>
    <mergeCell ref="O54:O55"/>
    <mergeCell ref="E55:F55"/>
    <mergeCell ref="E56:F56"/>
    <mergeCell ref="O56:O57"/>
    <mergeCell ref="E57:F57"/>
    <mergeCell ref="E58:G58"/>
    <mergeCell ref="O58:O59"/>
    <mergeCell ref="A90:A91"/>
    <mergeCell ref="B90:C90"/>
    <mergeCell ref="B91:C91"/>
    <mergeCell ref="B72:F72"/>
    <mergeCell ref="B74:F74"/>
    <mergeCell ref="B76:F76"/>
    <mergeCell ref="B78:D78"/>
    <mergeCell ref="B80:D80"/>
    <mergeCell ref="B82:D82"/>
    <mergeCell ref="B92:C92"/>
    <mergeCell ref="B93:C93"/>
    <mergeCell ref="B94:C94"/>
    <mergeCell ref="B95:C95"/>
    <mergeCell ref="B97:C97"/>
    <mergeCell ref="B98:C98"/>
    <mergeCell ref="B86:Q86"/>
    <mergeCell ref="B87:C87"/>
    <mergeCell ref="B88:C88"/>
    <mergeCell ref="B89:C89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9:J119"/>
    <mergeCell ref="L119:M119"/>
    <mergeCell ref="L120:M120"/>
    <mergeCell ref="M122:N122"/>
    <mergeCell ref="B111:C111"/>
    <mergeCell ref="B113:Q113"/>
    <mergeCell ref="B114:C114"/>
    <mergeCell ref="B115:C115"/>
    <mergeCell ref="B116:C116"/>
    <mergeCell ref="B117:C117"/>
    <mergeCell ref="E121:E124"/>
    <mergeCell ref="G121:G124"/>
    <mergeCell ref="P123:R123"/>
  </mergeCells>
  <pageMargins left="0.70866141732283472" right="0.70866141732283472" top="0.74803149606299213" bottom="0.74803149606299213" header="0.31496062992125984" footer="0.31496062992125984"/>
  <pageSetup scale="24" orientation="portrait" horizontalDpi="4294967293" verticalDpi="4294967293" r:id="rId1"/>
  <headerFooter>
    <oddFooter>&amp;RRT03-F33 Vr.4 (2019-06-05)</oddFooter>
  </headerFooter>
  <rowBreaks count="1" manualBreakCount="1">
    <brk id="60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DATOS!$A$39:$A$40</xm:f>
          </x14:formula1>
          <xm:sqref>O43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DATOS!$C$30:$C$32</xm:f>
          </x14:formula1>
          <xm:sqref>S7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25"/>
  <sheetViews>
    <sheetView showGridLines="0" view="pageBreakPreview" zoomScale="80" zoomScaleNormal="40" zoomScaleSheetLayoutView="80" workbookViewId="0">
      <selection activeCell="O45" sqref="O45"/>
    </sheetView>
  </sheetViews>
  <sheetFormatPr baseColWidth="10" defaultRowHeight="14.25" x14ac:dyDescent="0.2"/>
  <cols>
    <col min="1" max="1" width="20.7109375" style="55" customWidth="1"/>
    <col min="2" max="2" width="18" style="55" customWidth="1"/>
    <col min="3" max="3" width="13" style="55" customWidth="1"/>
    <col min="4" max="4" width="15.28515625" style="55" customWidth="1"/>
    <col min="5" max="5" width="12.7109375" style="55" customWidth="1"/>
    <col min="6" max="7" width="11.5703125" style="55" customWidth="1"/>
    <col min="8" max="8" width="13.5703125" style="55" customWidth="1"/>
    <col min="9" max="9" width="13.140625" style="55" customWidth="1"/>
    <col min="10" max="10" width="14" style="55" customWidth="1"/>
    <col min="11" max="11" width="12.7109375" style="55" customWidth="1"/>
    <col min="12" max="12" width="13.85546875" style="55" customWidth="1"/>
    <col min="13" max="13" width="11.5703125" style="55" customWidth="1"/>
    <col min="14" max="14" width="13.7109375" style="55" customWidth="1"/>
    <col min="15" max="15" width="21" style="55" customWidth="1"/>
    <col min="16" max="16" width="12.7109375" style="55" customWidth="1"/>
    <col min="17" max="17" width="13.5703125" style="55" customWidth="1"/>
    <col min="18" max="18" width="11.5703125" style="55" customWidth="1"/>
    <col min="19" max="24" width="11.42578125" style="55"/>
    <col min="25" max="25" width="11.7109375" style="55" customWidth="1"/>
    <col min="26" max="16384" width="11.42578125" style="55"/>
  </cols>
  <sheetData>
    <row r="1" spans="1:19" s="2" customFormat="1" ht="75" customHeight="1" thickBot="1" x14ac:dyDescent="0.3">
      <c r="A1" s="1745"/>
      <c r="B1" s="1746"/>
      <c r="C1" s="1"/>
      <c r="D1" s="1747" t="s">
        <v>459</v>
      </c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9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6" t="s">
        <v>52</v>
      </c>
      <c r="B3" s="179" t="e">
        <f>VLOOKUP($S3,DATOS!$D$7:$N$19,2,FALSE)</f>
        <v>#N/A</v>
      </c>
      <c r="C3" s="67" t="s">
        <v>202</v>
      </c>
      <c r="D3" s="1750" t="e">
        <f>VLOOKUP($S$3,DATOS!$D$7:$N$19,3,FALSE)</f>
        <v>#N/A</v>
      </c>
      <c r="E3" s="1751"/>
      <c r="F3" s="68" t="s">
        <v>457</v>
      </c>
      <c r="G3" s="1752" t="e">
        <f>VLOOKUP($S$3,DATOS!$D$7:$N$19,7,FALSE)</f>
        <v>#N/A</v>
      </c>
      <c r="H3" s="1752"/>
      <c r="I3" s="68" t="s">
        <v>203</v>
      </c>
      <c r="J3" s="1752" t="e">
        <f>VLOOKUP($S$3,DATOS!$D$7:$N$19,4,FALSE)</f>
        <v>#N/A</v>
      </c>
      <c r="K3" s="1752"/>
      <c r="L3" s="68" t="s">
        <v>29</v>
      </c>
      <c r="M3" s="1752" t="e">
        <f>VLOOKUP($S$3,DATOS!$D$7:$N$19,6,FALSE)</f>
        <v>#N/A</v>
      </c>
      <c r="N3" s="1752"/>
      <c r="O3" s="68" t="s">
        <v>205</v>
      </c>
      <c r="P3" s="1752" t="e">
        <f>VLOOKUP($S$3,DATOS!$D$7:$N$19,11,FALSE)</f>
        <v>#N/A</v>
      </c>
      <c r="Q3" s="1752"/>
      <c r="R3" s="1753"/>
      <c r="S3" s="178"/>
    </row>
    <row r="4" spans="1:19" s="7" customFormat="1" ht="5.0999999999999996" customHeight="1" thickBot="1" x14ac:dyDescent="0.3"/>
    <row r="5" spans="1:19" s="7" customFormat="1" ht="30" customHeight="1" thickBot="1" x14ac:dyDescent="0.3">
      <c r="A5" s="1794" t="s">
        <v>65</v>
      </c>
      <c r="B5" s="1795"/>
      <c r="C5" s="1795"/>
      <c r="D5" s="1795"/>
      <c r="E5" s="1795"/>
      <c r="F5" s="1795"/>
      <c r="G5" s="1795"/>
      <c r="H5" s="1795"/>
      <c r="I5" s="1795"/>
      <c r="J5" s="1795"/>
      <c r="K5" s="1795"/>
      <c r="L5" s="1795"/>
      <c r="M5" s="1795"/>
      <c r="N5" s="1795"/>
      <c r="O5" s="1795"/>
      <c r="P5" s="1795"/>
      <c r="Q5" s="1795"/>
      <c r="R5" s="1796"/>
    </row>
    <row r="6" spans="1:19" s="2" customFormat="1" ht="50.1" customHeight="1" thickBot="1" x14ac:dyDescent="0.3">
      <c r="A6" s="117" t="s">
        <v>14</v>
      </c>
      <c r="B6" s="180" t="s">
        <v>188</v>
      </c>
      <c r="C6" s="180" t="s">
        <v>190</v>
      </c>
      <c r="D6" s="180" t="s">
        <v>66</v>
      </c>
      <c r="E6" s="180" t="s">
        <v>187</v>
      </c>
      <c r="F6" s="180" t="s">
        <v>66</v>
      </c>
      <c r="G6" s="180" t="s">
        <v>189</v>
      </c>
      <c r="H6" s="180" t="s">
        <v>66</v>
      </c>
      <c r="I6" s="180" t="s">
        <v>185</v>
      </c>
      <c r="J6" s="180" t="s">
        <v>66</v>
      </c>
      <c r="K6" s="181" t="s">
        <v>67</v>
      </c>
      <c r="L6" s="180" t="s">
        <v>66</v>
      </c>
      <c r="M6" s="180" t="s">
        <v>458</v>
      </c>
      <c r="N6" s="180" t="s">
        <v>66</v>
      </c>
      <c r="O6" s="180" t="s">
        <v>191</v>
      </c>
      <c r="P6" s="180" t="s">
        <v>186</v>
      </c>
      <c r="Q6" s="1766" t="s">
        <v>213</v>
      </c>
      <c r="R6" s="1767"/>
    </row>
    <row r="7" spans="1:19" s="2" customFormat="1" ht="29.25" customHeight="1" thickBot="1" x14ac:dyDescent="0.3">
      <c r="A7" s="1041" t="s">
        <v>1</v>
      </c>
      <c r="B7" s="87" t="e">
        <f>VLOOKUP(S7,DATOS!C31:K33,3,FALSE)</f>
        <v>#N/A</v>
      </c>
      <c r="C7" s="88" t="e">
        <f>VLOOKUP(S7,DATOS!C31:K33,4,FALSE)</f>
        <v>#N/A</v>
      </c>
      <c r="D7" s="89" t="s">
        <v>4</v>
      </c>
      <c r="E7" s="90" t="e">
        <f>VLOOKUP(S7,DATOS!C31:K33,5,FALSE)</f>
        <v>#N/A</v>
      </c>
      <c r="F7" s="89" t="s">
        <v>4</v>
      </c>
      <c r="G7" s="88" t="e">
        <f>VLOOKUP(S7,DATOS!C31:K33,6,FALSE)</f>
        <v>#N/A</v>
      </c>
      <c r="H7" s="89" t="s">
        <v>68</v>
      </c>
      <c r="I7" s="90" t="e">
        <f>VLOOKUP(S7,DATOS!C31:K33,7,FALSE)</f>
        <v>#N/A</v>
      </c>
      <c r="J7" s="89" t="s">
        <v>4</v>
      </c>
      <c r="K7" s="91">
        <f>SQRT((3*0.5))^2+(((2.7*0.5)+(3*0.5))/2)^2/SQRT(12)</f>
        <v>2.0861909451865919</v>
      </c>
      <c r="L7" s="89" t="s">
        <v>4</v>
      </c>
      <c r="M7" s="92">
        <v>0</v>
      </c>
      <c r="N7" s="89" t="s">
        <v>4</v>
      </c>
      <c r="O7" s="90" t="e">
        <f>VLOOKUP(S7,DATOS!C31:K33,8,FALSE)</f>
        <v>#N/A</v>
      </c>
      <c r="P7" s="87" t="e">
        <f>VLOOKUP(S7,DATOS!C31:K33,9,FALSE)</f>
        <v>#N/A</v>
      </c>
      <c r="Q7" s="93"/>
      <c r="R7" s="182"/>
      <c r="S7" s="207"/>
    </row>
    <row r="8" spans="1:19" s="2" customFormat="1" ht="30" customHeight="1" x14ac:dyDescent="0.25">
      <c r="A8" s="1768" t="s">
        <v>69</v>
      </c>
      <c r="B8" s="99" t="e">
        <f>VLOOKUP(S8,DATOS!$C$39:$K$48,3,FALSE)</f>
        <v>#N/A</v>
      </c>
      <c r="C8" s="94" t="e">
        <f>VLOOKUP(S8,DATOS!$C$37:$K$49,4,FALSE)</f>
        <v>#N/A</v>
      </c>
      <c r="D8" s="1018" t="s">
        <v>3</v>
      </c>
      <c r="E8" s="94" t="e">
        <f>VLOOKUP(S8,DATOS!$C$37:$K$49,5,FALSE)</f>
        <v>#N/A</v>
      </c>
      <c r="F8" s="95" t="s">
        <v>3</v>
      </c>
      <c r="G8" s="94" t="e">
        <f>VLOOKUP(S8,DATOS!$C$37:$K$49,6,FALSE)</f>
        <v>#N/A</v>
      </c>
      <c r="H8" s="95" t="s">
        <v>3</v>
      </c>
      <c r="I8" s="94" t="e">
        <f>VLOOKUP(S8,DATOS!$C$37:$K$49,7,FALSE)</f>
        <v>#N/A</v>
      </c>
      <c r="J8" s="95" t="s">
        <v>3</v>
      </c>
      <c r="K8" s="1130" t="e">
        <f>(I8/2)/SQRT(12)</f>
        <v>#N/A</v>
      </c>
      <c r="L8" s="95" t="s">
        <v>3</v>
      </c>
      <c r="M8" s="1016">
        <v>0</v>
      </c>
      <c r="N8" s="95" t="s">
        <v>3</v>
      </c>
      <c r="O8" s="96" t="e">
        <f>VLOOKUP(S8,DATOS!$C$37:$K$49,8,FALSE)</f>
        <v>#N/A</v>
      </c>
      <c r="P8" s="97" t="e">
        <f>VLOOKUP(S8,DATOS!$C$37:$K$49,9,FALSE)</f>
        <v>#N/A</v>
      </c>
      <c r="Q8" s="8"/>
      <c r="R8" s="183"/>
      <c r="S8" s="805"/>
    </row>
    <row r="9" spans="1:19" s="2" customFormat="1" ht="30" customHeight="1" x14ac:dyDescent="0.25">
      <c r="A9" s="1769"/>
      <c r="B9" s="99" t="e">
        <f>VLOOKUP(S9,DATOS!$C$39:$K$48,3,FALSE)</f>
        <v>#N/A</v>
      </c>
      <c r="C9" s="94" t="e">
        <f>VLOOKUP(S9,DATOS!$C$37:$K$49,4,FALSE)</f>
        <v>#N/A</v>
      </c>
      <c r="D9" s="1018" t="s">
        <v>3</v>
      </c>
      <c r="E9" s="94" t="e">
        <f>VLOOKUP(S9,DATOS!$C$37:$K$49,5,FALSE)</f>
        <v>#N/A</v>
      </c>
      <c r="F9" s="95" t="s">
        <v>3</v>
      </c>
      <c r="G9" s="94" t="e">
        <f>VLOOKUP(S9,DATOS!$C$37:$K$49,6,FALSE)</f>
        <v>#N/A</v>
      </c>
      <c r="H9" s="95" t="s">
        <v>3</v>
      </c>
      <c r="I9" s="94" t="e">
        <f>VLOOKUP(S9,DATOS!$C$37:$K$49,7,FALSE)</f>
        <v>#N/A</v>
      </c>
      <c r="J9" s="95" t="s">
        <v>3</v>
      </c>
      <c r="K9" s="1130" t="e">
        <f t="shared" ref="K9:K22" si="0">(I9/2)/SQRT(12)</f>
        <v>#N/A</v>
      </c>
      <c r="L9" s="95" t="s">
        <v>3</v>
      </c>
      <c r="M9" s="1016">
        <v>0</v>
      </c>
      <c r="N9" s="95" t="s">
        <v>3</v>
      </c>
      <c r="O9" s="96" t="e">
        <f>VLOOKUP(S9,DATOS!$C$37:$K$49,8,FALSE)</f>
        <v>#N/A</v>
      </c>
      <c r="P9" s="97" t="e">
        <f>VLOOKUP(S9,DATOS!$C$37:$K$49,9,FALSE)</f>
        <v>#N/A</v>
      </c>
      <c r="Q9" s="98"/>
      <c r="R9" s="183"/>
      <c r="S9" s="360"/>
    </row>
    <row r="10" spans="1:19" s="2" customFormat="1" ht="30" customHeight="1" x14ac:dyDescent="0.25">
      <c r="A10" s="1769"/>
      <c r="B10" s="99" t="e">
        <f>VLOOKUP(S10,DATOS!$C$39:$K$48,3,FALSE)</f>
        <v>#N/A</v>
      </c>
      <c r="C10" s="94" t="e">
        <f>VLOOKUP(S10,DATOS!$C$37:$K$49,4,FALSE)</f>
        <v>#N/A</v>
      </c>
      <c r="D10" s="1018" t="s">
        <v>3</v>
      </c>
      <c r="E10" s="94" t="e">
        <f>VLOOKUP(S10,DATOS!$C$37:$K$49,5,FALSE)</f>
        <v>#N/A</v>
      </c>
      <c r="F10" s="95" t="s">
        <v>266</v>
      </c>
      <c r="G10" s="94" t="e">
        <f>VLOOKUP(S10,DATOS!$C$37:$K$49,6,FALSE)</f>
        <v>#N/A</v>
      </c>
      <c r="H10" s="95" t="s">
        <v>3</v>
      </c>
      <c r="I10" s="94" t="e">
        <f>VLOOKUP(S10,DATOS!$C$37:$K$49,7,FALSE)</f>
        <v>#N/A</v>
      </c>
      <c r="J10" s="95" t="s">
        <v>3</v>
      </c>
      <c r="K10" s="1130" t="e">
        <f t="shared" si="0"/>
        <v>#N/A</v>
      </c>
      <c r="L10" s="95" t="s">
        <v>3</v>
      </c>
      <c r="M10" s="1016">
        <v>0</v>
      </c>
      <c r="N10" s="95" t="s">
        <v>3</v>
      </c>
      <c r="O10" s="96" t="e">
        <f>VLOOKUP(S10,DATOS!$C$37:$K$49,8,FALSE)</f>
        <v>#N/A</v>
      </c>
      <c r="P10" s="97" t="e">
        <f>VLOOKUP(S10,DATOS!$C$37:$K$49,9,FALSE)</f>
        <v>#N/A</v>
      </c>
      <c r="Q10" s="98"/>
      <c r="R10" s="183"/>
      <c r="S10" s="360"/>
    </row>
    <row r="11" spans="1:19" s="6" customFormat="1" ht="30" customHeight="1" x14ac:dyDescent="0.25">
      <c r="A11" s="1769"/>
      <c r="B11" s="99" t="e">
        <f>VLOOKUP(S11,DATOS!$C$37:$K$49,3,FALSE)</f>
        <v>#N/A</v>
      </c>
      <c r="C11" s="94" t="e">
        <f>VLOOKUP(S11,DATOS!$C$37:$K$49,4,FALSE)</f>
        <v>#N/A</v>
      </c>
      <c r="D11" s="1018" t="s">
        <v>3</v>
      </c>
      <c r="E11" s="94" t="e">
        <f>VLOOKUP(S11,DATOS!$C$37:$K$49,5,FALSE)</f>
        <v>#N/A</v>
      </c>
      <c r="F11" s="95" t="s">
        <v>266</v>
      </c>
      <c r="G11" s="94" t="e">
        <f>VLOOKUP(S11,DATOS!$C$37:$K$49,6,FALSE)</f>
        <v>#N/A</v>
      </c>
      <c r="H11" s="95" t="s">
        <v>3</v>
      </c>
      <c r="I11" s="94" t="e">
        <f>VLOOKUP(S11,DATOS!$C$37:$K$49,7,FALSE)</f>
        <v>#N/A</v>
      </c>
      <c r="J11" s="95" t="s">
        <v>3</v>
      </c>
      <c r="K11" s="1130" t="e">
        <f t="shared" si="0"/>
        <v>#N/A</v>
      </c>
      <c r="L11" s="95" t="s">
        <v>3</v>
      </c>
      <c r="M11" s="1016" t="e">
        <f t="shared" ref="M11:M12" si="1">SQRT((I11/2)^2+(K11)^2)</f>
        <v>#N/A</v>
      </c>
      <c r="N11" s="95" t="s">
        <v>3</v>
      </c>
      <c r="O11" s="96" t="e">
        <f>VLOOKUP(S11,DATOS!$C$37:$K$49,8,FALSE)</f>
        <v>#N/A</v>
      </c>
      <c r="P11" s="97" t="e">
        <f>VLOOKUP(S11,DATOS!$C$37:$K$49,9,FALSE)</f>
        <v>#N/A</v>
      </c>
      <c r="Q11" s="98"/>
      <c r="R11" s="25"/>
      <c r="S11" s="360"/>
    </row>
    <row r="12" spans="1:19" s="6" customFormat="1" ht="30" customHeight="1" thickBot="1" x14ac:dyDescent="0.3">
      <c r="A12" s="1770"/>
      <c r="B12" s="99" t="e">
        <f>VLOOKUP(S12,DATOS!$C$37:$K$49,3,FALSE)</f>
        <v>#N/A</v>
      </c>
      <c r="C12" s="94" t="e">
        <f>VLOOKUP(S12,DATOS!$C$37:$K$49,4,FALSE)</f>
        <v>#N/A</v>
      </c>
      <c r="D12" s="1018" t="s">
        <v>3</v>
      </c>
      <c r="E12" s="94" t="e">
        <f>VLOOKUP(S12,DATOS!$C$37:$K$49,5,FALSE)</f>
        <v>#N/A</v>
      </c>
      <c r="F12" s="95" t="s">
        <v>266</v>
      </c>
      <c r="G12" s="94" t="e">
        <f>VLOOKUP(S12,DATOS!$C$37:$K$49,6,FALSE)</f>
        <v>#N/A</v>
      </c>
      <c r="H12" s="95" t="s">
        <v>3</v>
      </c>
      <c r="I12" s="94" t="e">
        <f>VLOOKUP(S12,DATOS!$C$37:$K$49,7,FALSE)</f>
        <v>#N/A</v>
      </c>
      <c r="J12" s="95" t="s">
        <v>3</v>
      </c>
      <c r="K12" s="1130" t="e">
        <f t="shared" si="0"/>
        <v>#N/A</v>
      </c>
      <c r="L12" s="95" t="s">
        <v>3</v>
      </c>
      <c r="M12" s="1016" t="e">
        <f t="shared" si="1"/>
        <v>#N/A</v>
      </c>
      <c r="N12" s="95" t="s">
        <v>3</v>
      </c>
      <c r="O12" s="96" t="e">
        <f>VLOOKUP(S12,DATOS!$C$37:$K$49,8,FALSE)</f>
        <v>#N/A</v>
      </c>
      <c r="P12" s="97" t="e">
        <f>VLOOKUP(S12,DATOS!$C$37:$K$49,9,FALSE)</f>
        <v>#N/A</v>
      </c>
      <c r="Q12" s="98"/>
      <c r="R12" s="25"/>
      <c r="S12" s="806"/>
    </row>
    <row r="13" spans="1:19" s="6" customFormat="1" ht="30" customHeight="1" x14ac:dyDescent="0.25">
      <c r="A13" s="1768" t="s">
        <v>70</v>
      </c>
      <c r="B13" s="99" t="e">
        <f>VLOOKUP(S13,DATOS!$C$37:$K$49,3,FALSE)</f>
        <v>#N/A</v>
      </c>
      <c r="C13" s="94" t="e">
        <f>VLOOKUP(S13,DATOS!$C$37:$K$49,4,FALSE)</f>
        <v>#N/A</v>
      </c>
      <c r="D13" s="1018" t="s">
        <v>3</v>
      </c>
      <c r="E13" s="94" t="e">
        <f>VLOOKUP(S13,DATOS!$C$37:$K$49,5,FALSE)</f>
        <v>#N/A</v>
      </c>
      <c r="F13" s="95" t="s">
        <v>3</v>
      </c>
      <c r="G13" s="94" t="e">
        <f>VLOOKUP(S13,DATOS!$C$37:$K$49,6,FALSE)</f>
        <v>#N/A</v>
      </c>
      <c r="H13" s="95" t="s">
        <v>3</v>
      </c>
      <c r="I13" s="94" t="e">
        <f>VLOOKUP(S13,DATOS!$C$37:$K$49,7,FALSE)</f>
        <v>#N/A</v>
      </c>
      <c r="J13" s="95" t="s">
        <v>3</v>
      </c>
      <c r="K13" s="1130" t="e">
        <f>(I13/2)/SQRT(12)</f>
        <v>#N/A</v>
      </c>
      <c r="L13" s="95" t="s">
        <v>3</v>
      </c>
      <c r="M13" s="1016">
        <v>0</v>
      </c>
      <c r="N13" s="95" t="s">
        <v>3</v>
      </c>
      <c r="O13" s="96" t="e">
        <f>VLOOKUP(S13,DATOS!$C$37:$K$49,8,FALSE)</f>
        <v>#N/A</v>
      </c>
      <c r="P13" s="97" t="e">
        <f>VLOOKUP(S13,DATOS!$C$37:$K$49,9,FALSE)</f>
        <v>#N/A</v>
      </c>
      <c r="Q13" s="98"/>
      <c r="R13" s="183"/>
      <c r="S13" s="805"/>
    </row>
    <row r="14" spans="1:19" s="6" customFormat="1" ht="30" customHeight="1" x14ac:dyDescent="0.25">
      <c r="A14" s="1769"/>
      <c r="B14" s="99" t="e">
        <f>VLOOKUP(S14,DATOS!$C$39:$K$48,3,FALSE)</f>
        <v>#N/A</v>
      </c>
      <c r="C14" s="94" t="e">
        <f>VLOOKUP(S14,DATOS!$C$37:$K$49,4,FALSE)</f>
        <v>#N/A</v>
      </c>
      <c r="D14" s="1018" t="s">
        <v>3</v>
      </c>
      <c r="E14" s="94" t="e">
        <f>VLOOKUP(S14,DATOS!$C$37:$K$49,5,FALSE)</f>
        <v>#N/A</v>
      </c>
      <c r="F14" s="95" t="s">
        <v>3</v>
      </c>
      <c r="G14" s="94" t="e">
        <f>VLOOKUP(S14,DATOS!$C$37:$K$49,6,FALSE)</f>
        <v>#N/A</v>
      </c>
      <c r="H14" s="95" t="s">
        <v>3</v>
      </c>
      <c r="I14" s="94" t="e">
        <f>VLOOKUP(S14,DATOS!$C$37:$K$49,7,FALSE)</f>
        <v>#N/A</v>
      </c>
      <c r="J14" s="95" t="s">
        <v>3</v>
      </c>
      <c r="K14" s="1130" t="e">
        <f t="shared" ref="K14:K17" si="2">(I14/2)/SQRT(12)</f>
        <v>#N/A</v>
      </c>
      <c r="L14" s="95" t="s">
        <v>3</v>
      </c>
      <c r="M14" s="1016">
        <v>0</v>
      </c>
      <c r="N14" s="95" t="s">
        <v>3</v>
      </c>
      <c r="O14" s="96" t="e">
        <f>VLOOKUP(S14,DATOS!$C$37:$K$49,8,FALSE)</f>
        <v>#N/A</v>
      </c>
      <c r="P14" s="97" t="e">
        <f>VLOOKUP(S14,DATOS!$C$37:$K$49,9,FALSE)</f>
        <v>#N/A</v>
      </c>
      <c r="Q14" s="98"/>
      <c r="R14" s="183"/>
      <c r="S14" s="360"/>
    </row>
    <row r="15" spans="1:19" s="6" customFormat="1" ht="30" customHeight="1" x14ac:dyDescent="0.25">
      <c r="A15" s="1769"/>
      <c r="B15" s="99" t="e">
        <f>VLOOKUP(S15,DATOS!$C$39:$K$48,3,FALSE)</f>
        <v>#N/A</v>
      </c>
      <c r="C15" s="94" t="e">
        <f>VLOOKUP(S15,DATOS!$C$37:$K$49,4,FALSE)</f>
        <v>#N/A</v>
      </c>
      <c r="D15" s="1018" t="s">
        <v>3</v>
      </c>
      <c r="E15" s="94" t="e">
        <f>VLOOKUP(S15,DATOS!$C$37:$K$49,5,FALSE)</f>
        <v>#N/A</v>
      </c>
      <c r="F15" s="95" t="s">
        <v>3</v>
      </c>
      <c r="G15" s="94" t="e">
        <f>VLOOKUP(S15,DATOS!$C$37:$K$49,6,FALSE)</f>
        <v>#N/A</v>
      </c>
      <c r="H15" s="95" t="s">
        <v>3</v>
      </c>
      <c r="I15" s="94" t="e">
        <f>VLOOKUP(S15,DATOS!$C$37:$K$49,7,FALSE)</f>
        <v>#N/A</v>
      </c>
      <c r="J15" s="95" t="s">
        <v>3</v>
      </c>
      <c r="K15" s="1130" t="e">
        <f t="shared" si="2"/>
        <v>#N/A</v>
      </c>
      <c r="L15" s="95" t="s">
        <v>3</v>
      </c>
      <c r="M15" s="1016">
        <v>0</v>
      </c>
      <c r="N15" s="95" t="s">
        <v>3</v>
      </c>
      <c r="O15" s="96" t="e">
        <f>VLOOKUP(S15,DATOS!$C$37:$K$49,8,FALSE)</f>
        <v>#N/A</v>
      </c>
      <c r="P15" s="97" t="e">
        <f>VLOOKUP(S15,DATOS!$C$37:$K$49,9,FALSE)</f>
        <v>#N/A</v>
      </c>
      <c r="Q15" s="98"/>
      <c r="R15" s="183"/>
      <c r="S15" s="360"/>
    </row>
    <row r="16" spans="1:19" s="6" customFormat="1" ht="30" customHeight="1" x14ac:dyDescent="0.25">
      <c r="A16" s="1769"/>
      <c r="B16" s="99" t="e">
        <f>VLOOKUP(S16,DATOS!$C$37:$K$49,3,FALSE)</f>
        <v>#N/A</v>
      </c>
      <c r="C16" s="94" t="e">
        <f>VLOOKUP(S16,DATOS!$C$37:$K$49,4,FALSE)</f>
        <v>#N/A</v>
      </c>
      <c r="D16" s="1018" t="s">
        <v>3</v>
      </c>
      <c r="E16" s="94" t="e">
        <f>VLOOKUP(S16,DATOS!$C$37:$K$49,5,FALSE)</f>
        <v>#N/A</v>
      </c>
      <c r="F16" s="95" t="s">
        <v>3</v>
      </c>
      <c r="G16" s="94" t="e">
        <f>VLOOKUP(S16,DATOS!$C$37:$K$49,6,FALSE)</f>
        <v>#N/A</v>
      </c>
      <c r="H16" s="95" t="s">
        <v>3</v>
      </c>
      <c r="I16" s="1145" t="e">
        <f>VLOOKUP(S16,DATOS!$C$37:$K$49,7,FALSE)</f>
        <v>#N/A</v>
      </c>
      <c r="J16" s="95" t="s">
        <v>3</v>
      </c>
      <c r="K16" s="1130" t="e">
        <f t="shared" si="2"/>
        <v>#N/A</v>
      </c>
      <c r="L16" s="95" t="s">
        <v>3</v>
      </c>
      <c r="M16" s="1016" t="e">
        <f t="shared" ref="M16:M17" si="3">SQRT((I16/2)^2+(K16)^2)</f>
        <v>#N/A</v>
      </c>
      <c r="N16" s="95" t="s">
        <v>3</v>
      </c>
      <c r="O16" s="96" t="e">
        <f>VLOOKUP(S16,DATOS!$C$37:$K$49,8,FALSE)</f>
        <v>#N/A</v>
      </c>
      <c r="P16" s="97" t="e">
        <f>VLOOKUP(S16,DATOS!$C$37:$K$49,9,FALSE)</f>
        <v>#N/A</v>
      </c>
      <c r="Q16" s="98"/>
      <c r="R16" s="25"/>
      <c r="S16" s="360"/>
    </row>
    <row r="17" spans="1:20" s="6" customFormat="1" ht="30" customHeight="1" thickBot="1" x14ac:dyDescent="0.3">
      <c r="A17" s="1770"/>
      <c r="B17" s="99" t="e">
        <f>VLOOKUP(S17,DATOS!$C$37:$K$49,3,FALSE)</f>
        <v>#N/A</v>
      </c>
      <c r="C17" s="94" t="e">
        <f>VLOOKUP(S17,DATOS!$C$37:$K$49,4,FALSE)</f>
        <v>#N/A</v>
      </c>
      <c r="D17" s="1018" t="s">
        <v>3</v>
      </c>
      <c r="E17" s="94" t="e">
        <f>VLOOKUP(S17,DATOS!$C$37:$K$49,5,FALSE)</f>
        <v>#N/A</v>
      </c>
      <c r="F17" s="95" t="s">
        <v>3</v>
      </c>
      <c r="G17" s="94" t="e">
        <f>VLOOKUP(S17,DATOS!$C$37:$K$49,6,FALSE)</f>
        <v>#N/A</v>
      </c>
      <c r="H17" s="95" t="s">
        <v>3</v>
      </c>
      <c r="I17" s="1145" t="e">
        <f>VLOOKUP(S17,DATOS!$C$37:$K$49,7,FALSE)</f>
        <v>#N/A</v>
      </c>
      <c r="J17" s="95" t="s">
        <v>3</v>
      </c>
      <c r="K17" s="1130" t="e">
        <f t="shared" si="2"/>
        <v>#N/A</v>
      </c>
      <c r="L17" s="95" t="s">
        <v>3</v>
      </c>
      <c r="M17" s="1016" t="e">
        <f t="shared" si="3"/>
        <v>#N/A</v>
      </c>
      <c r="N17" s="95" t="s">
        <v>3</v>
      </c>
      <c r="O17" s="96" t="e">
        <f>VLOOKUP(S17,DATOS!$C$37:$K$49,8,FALSE)</f>
        <v>#N/A</v>
      </c>
      <c r="P17" s="97" t="e">
        <f>VLOOKUP(S17,DATOS!$C$37:$K$49,9,FALSE)</f>
        <v>#N/A</v>
      </c>
      <c r="Q17" s="98"/>
      <c r="R17" s="25"/>
      <c r="S17" s="806"/>
    </row>
    <row r="18" spans="1:20" s="6" customFormat="1" ht="30" customHeight="1" thickBot="1" x14ac:dyDescent="0.3">
      <c r="A18" s="1017" t="s">
        <v>195</v>
      </c>
      <c r="B18" s="96" t="e">
        <f>VLOOKUP(S18,DATOS!$C$111:$K$116,3,FALSE)</f>
        <v>#N/A</v>
      </c>
      <c r="C18" s="1145" t="e">
        <f>VLOOKUP(S18,DATOS!$C$111:$K$116,4,FALSE)</f>
        <v>#N/A</v>
      </c>
      <c r="D18" s="1018" t="s">
        <v>4</v>
      </c>
      <c r="E18" s="1145" t="e">
        <f>VLOOKUP(S18,DATOS!$C$111:$K$116,5,FALSE)</f>
        <v>#N/A</v>
      </c>
      <c r="F18" s="1018" t="s">
        <v>4</v>
      </c>
      <c r="G18" s="1145" t="e">
        <f>VLOOKUP(S18,DATOS!$C$111:$K$116,6,FALSE)</f>
        <v>#N/A</v>
      </c>
      <c r="H18" s="1018" t="s">
        <v>4</v>
      </c>
      <c r="I18" s="1145" t="e">
        <f>VLOOKUP(S18,DATOS!$C$111:$K$116,7,FALSE)</f>
        <v>#N/A</v>
      </c>
      <c r="J18" s="185" t="s">
        <v>4</v>
      </c>
      <c r="K18" s="1130" t="e">
        <f>(I18/2)/SQRT(12)</f>
        <v>#N/A</v>
      </c>
      <c r="L18" s="1018" t="s">
        <v>4</v>
      </c>
      <c r="M18" s="1016">
        <v>0</v>
      </c>
      <c r="N18" s="1018" t="s">
        <v>4</v>
      </c>
      <c r="O18" s="96" t="e">
        <f>VLOOKUP(S18,DATOS!$C$111:$K$116,8,FALSE)</f>
        <v>#N/A</v>
      </c>
      <c r="P18" s="811" t="e">
        <f>VLOOKUP(S18,DATOS!$C$111:$K$116,9,FALSE)</f>
        <v>#N/A</v>
      </c>
      <c r="Q18" s="1010" t="s">
        <v>477</v>
      </c>
      <c r="R18" s="1011" t="s">
        <v>478</v>
      </c>
      <c r="S18" s="812"/>
    </row>
    <row r="19" spans="1:20" s="9" customFormat="1" ht="30" customHeight="1" x14ac:dyDescent="0.25">
      <c r="A19" s="1017" t="s">
        <v>196</v>
      </c>
      <c r="B19" s="1737" t="e">
        <f>VLOOKUP(S19,DATOS!$C$120:$K$126,3,FALSE)</f>
        <v>#N/A</v>
      </c>
      <c r="C19" s="1737" t="e">
        <f>VLOOKUP(S19,DATOS!$C$120:$K$126,4,FALSE)</f>
        <v>#N/A</v>
      </c>
      <c r="D19" s="1735" t="s">
        <v>4</v>
      </c>
      <c r="E19" s="1737" t="e">
        <f>VLOOKUP(S19,DATOS!$C$120:$K$126,5,FALSE)</f>
        <v>#N/A</v>
      </c>
      <c r="F19" s="1735" t="s">
        <v>4</v>
      </c>
      <c r="G19" s="1773" t="e">
        <f>VLOOKUP(S19,DATOS!$C$120:$K$126,6,FALSE)</f>
        <v>#N/A</v>
      </c>
      <c r="H19" s="1735" t="s">
        <v>4</v>
      </c>
      <c r="I19" s="1737" t="e">
        <f>VLOOKUP(S19,DATOS!$C$120:$K$126,7,FALSE)</f>
        <v>#N/A</v>
      </c>
      <c r="J19" s="1735" t="s">
        <v>4</v>
      </c>
      <c r="K19" s="1739" t="e">
        <f t="shared" si="0"/>
        <v>#N/A</v>
      </c>
      <c r="L19" s="1743" t="s">
        <v>4</v>
      </c>
      <c r="M19" s="186">
        <v>0</v>
      </c>
      <c r="N19" s="1743" t="s">
        <v>4</v>
      </c>
      <c r="O19" s="1737" t="e">
        <f>VLOOKUP(S19,DATOS!$C$120:$K$126,8,FALSE)</f>
        <v>#N/A</v>
      </c>
      <c r="P19" s="1775" t="e">
        <f>VLOOKUP(S19,DATOS!$C$120:$K$126,9,FALSE)</f>
        <v>#N/A</v>
      </c>
      <c r="Q19" s="1012" t="e">
        <f>VLOOKUP(S19,DATOS!$C$120:$R$127,13,FALSE)</f>
        <v>#N/A</v>
      </c>
      <c r="R19" s="1013" t="e">
        <f>VLOOKUP(S19,DATOS!$C$120:$R$127,15,FALSE)</f>
        <v>#N/A</v>
      </c>
      <c r="S19" s="1777"/>
    </row>
    <row r="20" spans="1:20" s="2" customFormat="1" ht="30" customHeight="1" thickBot="1" x14ac:dyDescent="0.3">
      <c r="A20" s="1133"/>
      <c r="B20" s="1738"/>
      <c r="C20" s="1738"/>
      <c r="D20" s="1736"/>
      <c r="E20" s="1738"/>
      <c r="F20" s="1736"/>
      <c r="G20" s="1774"/>
      <c r="H20" s="1736"/>
      <c r="I20" s="1738"/>
      <c r="J20" s="1736"/>
      <c r="K20" s="1739"/>
      <c r="L20" s="1744"/>
      <c r="M20" s="187"/>
      <c r="N20" s="1744"/>
      <c r="O20" s="1738"/>
      <c r="P20" s="1776"/>
      <c r="Q20" s="1014" t="e">
        <f>VLOOKUP(S19,DATOS!$C$120:$R$127,14,FALSE)</f>
        <v>#N/A</v>
      </c>
      <c r="R20" s="985" t="e">
        <f>VLOOKUP(S19,DATOS!$C$120:$R$127,16,FALSE)</f>
        <v>#N/A</v>
      </c>
      <c r="S20" s="1778"/>
    </row>
    <row r="21" spans="1:20" s="10" customFormat="1" ht="27.75" customHeight="1" thickBot="1" x14ac:dyDescent="0.3">
      <c r="A21" s="753" t="s">
        <v>71</v>
      </c>
      <c r="B21" s="96" t="e">
        <f>VLOOKUP(S21,DATOS!$C$130:$K$131,3,FALSE)</f>
        <v>#N/A</v>
      </c>
      <c r="C21" s="96" t="e">
        <f>VLOOKUP(S21,DATOS!$C$130:$K$131,4,FALSE)</f>
        <v>#N/A</v>
      </c>
      <c r="D21" s="1018" t="s">
        <v>193</v>
      </c>
      <c r="E21" s="96" t="e">
        <f>VLOOKUP(S21,DATOS!$C$130:$K$131,5,FALSE)</f>
        <v>#N/A</v>
      </c>
      <c r="F21" s="1018" t="s">
        <v>193</v>
      </c>
      <c r="G21" s="96" t="e">
        <f>VLOOKUP(S21,DATOS!$C$130:$K$131,6,FALSE)</f>
        <v>#N/A</v>
      </c>
      <c r="H21" s="1018" t="s">
        <v>193</v>
      </c>
      <c r="I21" s="96" t="e">
        <f>VLOOKUP(S21,DATOS!$C$130:$K$131,7,FALSE)</f>
        <v>#N/A</v>
      </c>
      <c r="J21" s="185" t="s">
        <v>193</v>
      </c>
      <c r="K21" s="101" t="e">
        <f t="shared" si="0"/>
        <v>#N/A</v>
      </c>
      <c r="L21" s="1018" t="s">
        <v>193</v>
      </c>
      <c r="M21" s="1016">
        <v>0</v>
      </c>
      <c r="N21" s="1016" t="s">
        <v>193</v>
      </c>
      <c r="O21" s="96" t="e">
        <f>VLOOKUP(S21,DATOS!$C$130:$K$131,8,FALSE)</f>
        <v>#N/A</v>
      </c>
      <c r="P21" s="97" t="e">
        <f>VLOOKUP(S21,DATOS!$C$130:$K$131,9,FALSE)</f>
        <v>#N/A</v>
      </c>
      <c r="Q21" s="100"/>
      <c r="R21" s="184"/>
      <c r="S21" s="207"/>
    </row>
    <row r="22" spans="1:20" s="2" customFormat="1" ht="30" customHeight="1" thickBot="1" x14ac:dyDescent="0.3">
      <c r="A22" s="754" t="s">
        <v>72</v>
      </c>
      <c r="B22" s="102" t="e">
        <f>VLOOKUP(S22,DATOS!$C$136:$K$151,3,FALSE)</f>
        <v>#N/A</v>
      </c>
      <c r="C22" s="102" t="e">
        <f>VLOOKUP(S22,DATOS!$C$136:$K$151,4,FALSE)</f>
        <v>#N/A</v>
      </c>
      <c r="D22" s="103" t="s">
        <v>171</v>
      </c>
      <c r="E22" s="102" t="e">
        <f>VLOOKUP(S22,DATOS!$C$136:$K$151,5,FALSE)</f>
        <v>#N/A</v>
      </c>
      <c r="F22" s="103" t="s">
        <v>171</v>
      </c>
      <c r="G22" s="102" t="e">
        <f>VLOOKUP(S22,DATOS!$C$136:$K$151,6,FALSE)</f>
        <v>#N/A</v>
      </c>
      <c r="H22" s="103" t="s">
        <v>171</v>
      </c>
      <c r="I22" s="102" t="e">
        <f>VLOOKUP(S22,DATOS!$C$136:$K$151,7,FALSE)</f>
        <v>#N/A</v>
      </c>
      <c r="J22" s="103" t="s">
        <v>171</v>
      </c>
      <c r="K22" s="104" t="e">
        <f t="shared" si="0"/>
        <v>#N/A</v>
      </c>
      <c r="L22" s="103" t="s">
        <v>171</v>
      </c>
      <c r="M22" s="105">
        <v>0</v>
      </c>
      <c r="N22" s="103" t="s">
        <v>171</v>
      </c>
      <c r="O22" s="102" t="e">
        <f>VLOOKUP(S22,DATOS!$C$136:$K$151,8,FALSE)</f>
        <v>#N/A</v>
      </c>
      <c r="P22" s="106" t="e">
        <f>VLOOKUP(S22,DATOS!$C$136:$K$151,9,FALSE)</f>
        <v>#N/A</v>
      </c>
      <c r="Q22" s="107"/>
      <c r="R22" s="188"/>
      <c r="S22" s="806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667" t="s">
        <v>73</v>
      </c>
      <c r="C24" s="1668"/>
      <c r="D24" s="1668"/>
      <c r="E24" s="1668"/>
      <c r="F24" s="1668"/>
      <c r="G24" s="1669"/>
      <c r="H24" s="10"/>
      <c r="I24" s="1797" t="s">
        <v>559</v>
      </c>
      <c r="J24" s="1798"/>
      <c r="K24" s="1798"/>
      <c r="L24" s="1798"/>
      <c r="M24" s="1798"/>
      <c r="N24" s="1798"/>
      <c r="O24" s="1798"/>
      <c r="P24" s="1798"/>
      <c r="Q24" s="1798"/>
      <c r="R24" s="1799"/>
    </row>
    <row r="25" spans="1:20" s="2" customFormat="1" ht="30" customHeight="1" thickBot="1" x14ac:dyDescent="0.3">
      <c r="A25" s="7"/>
      <c r="B25" s="1800" t="s">
        <v>74</v>
      </c>
      <c r="C25" s="1801"/>
      <c r="D25" s="1802" t="s">
        <v>1</v>
      </c>
      <c r="E25" s="1801"/>
      <c r="F25" s="1802" t="s">
        <v>0</v>
      </c>
      <c r="G25" s="1803"/>
      <c r="H25" s="10"/>
      <c r="I25" s="1731" t="s">
        <v>66</v>
      </c>
      <c r="J25" s="1733" t="s">
        <v>48</v>
      </c>
      <c r="K25" s="1733" t="s">
        <v>49</v>
      </c>
      <c r="L25" s="1733" t="s">
        <v>175</v>
      </c>
      <c r="M25" s="1733" t="s">
        <v>75</v>
      </c>
      <c r="N25" s="10"/>
      <c r="O25" s="1719" t="s">
        <v>76</v>
      </c>
      <c r="P25" s="1719" t="s">
        <v>77</v>
      </c>
      <c r="Q25" s="1719" t="s">
        <v>78</v>
      </c>
      <c r="R25" s="1721" t="s">
        <v>453</v>
      </c>
    </row>
    <row r="26" spans="1:20" s="2" customFormat="1" ht="30" customHeight="1" thickBot="1" x14ac:dyDescent="0.3">
      <c r="A26" s="178"/>
      <c r="B26" s="1783" t="s">
        <v>43</v>
      </c>
      <c r="C26" s="1784"/>
      <c r="D26" s="1756" t="e">
        <f>VLOOKUP($A$26,DATOS!$B$24:$M$26,2,FALSE)</f>
        <v>#N/A</v>
      </c>
      <c r="E26" s="1757"/>
      <c r="F26" s="1756" t="e">
        <f>VLOOKUP($H$26,DATOS!$B$14:$N$16,2,FALSE)</f>
        <v>#N/A</v>
      </c>
      <c r="G26" s="1760"/>
      <c r="H26" s="178"/>
      <c r="I26" s="1732"/>
      <c r="J26" s="1734"/>
      <c r="K26" s="1734"/>
      <c r="L26" s="1734"/>
      <c r="M26" s="1734"/>
      <c r="N26" s="10"/>
      <c r="O26" s="1720"/>
      <c r="P26" s="1720"/>
      <c r="Q26" s="1720"/>
      <c r="R26" s="1722"/>
    </row>
    <row r="27" spans="1:20" s="2" customFormat="1" ht="30" customHeight="1" x14ac:dyDescent="0.25">
      <c r="A27" s="7"/>
      <c r="B27" s="1783" t="s">
        <v>44</v>
      </c>
      <c r="C27" s="1784"/>
      <c r="D27" s="1756" t="e">
        <f>VLOOKUP($A$26,DATOS!$B$24:$M$26,3,FALSE)</f>
        <v>#N/A</v>
      </c>
      <c r="E27" s="1757"/>
      <c r="F27" s="1756" t="e">
        <f>VLOOKUP($H$26,DATOS!$B$14:$N$16,3,FALSE)</f>
        <v>#N/A</v>
      </c>
      <c r="G27" s="1760"/>
      <c r="H27" s="10"/>
      <c r="I27" s="1135" t="s">
        <v>81</v>
      </c>
      <c r="J27" s="31">
        <v>3.7854109999999999</v>
      </c>
      <c r="K27" s="31">
        <v>3785.4110000000001</v>
      </c>
      <c r="L27" s="31">
        <v>231.00000854332629</v>
      </c>
      <c r="M27" s="32">
        <v>5</v>
      </c>
      <c r="N27" s="11"/>
      <c r="O27" s="729" t="e">
        <f>O30/K27</f>
        <v>#N/A</v>
      </c>
      <c r="P27" s="187" t="e">
        <f>P30/K27</f>
        <v>#N/A</v>
      </c>
      <c r="Q27" s="730" t="e">
        <f>P27-O27</f>
        <v>#N/A</v>
      </c>
      <c r="R27" s="1015" t="e">
        <f>ABS(Q27)</f>
        <v>#N/A</v>
      </c>
    </row>
    <row r="28" spans="1:20" s="2" customFormat="1" ht="30" customHeight="1" x14ac:dyDescent="0.25">
      <c r="A28" s="7"/>
      <c r="B28" s="1783" t="s">
        <v>28</v>
      </c>
      <c r="C28" s="1784"/>
      <c r="D28" s="1756" t="e">
        <f>VLOOKUP($A$26,DATOS!$B$24:$M$26,4,FALSE)</f>
        <v>#N/A</v>
      </c>
      <c r="E28" s="1757"/>
      <c r="F28" s="1756" t="e">
        <f>VLOOKUP($H$26,DATOS!$B$14:$N$16,4,FALSE)</f>
        <v>#N/A</v>
      </c>
      <c r="G28" s="1760"/>
      <c r="H28" s="10"/>
      <c r="I28" s="1135" t="s">
        <v>176</v>
      </c>
      <c r="J28" s="31">
        <v>1.6387059999999998E-2</v>
      </c>
      <c r="K28" s="31">
        <v>16.387059999999998</v>
      </c>
      <c r="L28" s="31">
        <v>1</v>
      </c>
      <c r="M28" s="32">
        <v>1155.0000427166315</v>
      </c>
      <c r="N28" s="10"/>
      <c r="O28" s="60" t="e">
        <f>O30/K28</f>
        <v>#N/A</v>
      </c>
      <c r="P28" s="1016" t="e">
        <f>(P30*L28)/K28</f>
        <v>#N/A</v>
      </c>
      <c r="Q28" s="109" t="e">
        <f>P28-O28</f>
        <v>#N/A</v>
      </c>
      <c r="R28" s="1008" t="e">
        <f t="shared" ref="R28:R29" si="4">ABS(Q28)</f>
        <v>#N/A</v>
      </c>
    </row>
    <row r="29" spans="1:20" s="2" customFormat="1" ht="30" customHeight="1" x14ac:dyDescent="0.25">
      <c r="A29" s="7"/>
      <c r="B29" s="1783" t="s">
        <v>84</v>
      </c>
      <c r="C29" s="1784"/>
      <c r="D29" s="1016" t="e">
        <f>VLOOKUP($A$26,DATOS!$B$24:$M$26,5,FALSE)</f>
        <v>#N/A</v>
      </c>
      <c r="E29" s="1016" t="s">
        <v>3</v>
      </c>
      <c r="F29" s="1016" t="e">
        <f>VLOOKUP($H$26,DATOS!$B$14:$N$16,5,FALSE)</f>
        <v>#N/A</v>
      </c>
      <c r="G29" s="108" t="s">
        <v>3</v>
      </c>
      <c r="H29" s="10"/>
      <c r="I29" s="1135" t="s">
        <v>25</v>
      </c>
      <c r="J29" s="31">
        <v>1</v>
      </c>
      <c r="K29" s="31">
        <v>1000</v>
      </c>
      <c r="L29" s="31">
        <v>1.6387059999999998E-2</v>
      </c>
      <c r="M29" s="32">
        <v>18.927054999999999</v>
      </c>
      <c r="N29" s="10"/>
      <c r="O29" s="69" t="e">
        <f>O30/K29</f>
        <v>#N/A</v>
      </c>
      <c r="P29" s="1016" t="e">
        <f>(P30*J29)/K29</f>
        <v>#N/A</v>
      </c>
      <c r="Q29" s="109" t="e">
        <f>P29-O29</f>
        <v>#N/A</v>
      </c>
      <c r="R29" s="1008" t="e">
        <f t="shared" si="4"/>
        <v>#N/A</v>
      </c>
    </row>
    <row r="30" spans="1:20" s="2" customFormat="1" ht="30" customHeight="1" x14ac:dyDescent="0.25">
      <c r="A30" s="7"/>
      <c r="B30" s="1783" t="s">
        <v>47</v>
      </c>
      <c r="C30" s="1784"/>
      <c r="D30" s="1016" t="e">
        <f>VLOOKUP($A$26,DATOS!$B$24:$M$26,6,FALSE)</f>
        <v>#N/A</v>
      </c>
      <c r="E30" s="1016" t="s">
        <v>9</v>
      </c>
      <c r="F30" s="1016" t="e">
        <f>VLOOKUP($H$26,DATOS!$B$14:$N$16,6,FALSE)</f>
        <v>#N/A</v>
      </c>
      <c r="G30" s="108" t="s">
        <v>9</v>
      </c>
      <c r="H30" s="10"/>
      <c r="I30" s="1135" t="s">
        <v>26</v>
      </c>
      <c r="J30" s="31">
        <v>1E-3</v>
      </c>
      <c r="K30" s="31">
        <v>1</v>
      </c>
      <c r="L30" s="31">
        <v>16.387059999999998</v>
      </c>
      <c r="M30" s="32">
        <v>18927.055</v>
      </c>
      <c r="N30" s="10"/>
      <c r="O30" s="60" t="e">
        <f>C7</f>
        <v>#N/A</v>
      </c>
      <c r="P30" s="111" t="e">
        <f>H58</f>
        <v>#N/A</v>
      </c>
      <c r="Q30" s="109" t="e">
        <f>P30-O30</f>
        <v>#N/A</v>
      </c>
      <c r="R30" s="1008" t="e">
        <f>ABS(Q30)</f>
        <v>#N/A</v>
      </c>
    </row>
    <row r="31" spans="1:20" s="2" customFormat="1" ht="30" customHeight="1" thickBot="1" x14ac:dyDescent="0.3">
      <c r="A31" s="7"/>
      <c r="B31" s="1783" t="s">
        <v>86</v>
      </c>
      <c r="C31" s="1784"/>
      <c r="D31" s="1016" t="e">
        <f>VLOOKUP($A$26,DATOS!$B$24:$M$26,7,FALSE)</f>
        <v>#N/A</v>
      </c>
      <c r="E31" s="1016" t="s">
        <v>4</v>
      </c>
      <c r="F31" s="1016" t="e">
        <f>VLOOKUP($H$26,DATOS!$B$14:$N$16,7,FALSE)</f>
        <v>#N/A</v>
      </c>
      <c r="G31" s="108" t="s">
        <v>4</v>
      </c>
      <c r="H31" s="10"/>
      <c r="I31" s="1140" t="s">
        <v>177</v>
      </c>
      <c r="J31" s="1036">
        <v>1E-3</v>
      </c>
      <c r="K31" s="1036">
        <v>1</v>
      </c>
      <c r="L31" s="1036">
        <v>16.387059999999998</v>
      </c>
      <c r="M31" s="1037">
        <v>18927.055</v>
      </c>
      <c r="N31" s="10"/>
      <c r="O31" s="70" t="e">
        <f>O30</f>
        <v>#N/A</v>
      </c>
      <c r="P31" s="105" t="e">
        <f>P30</f>
        <v>#N/A</v>
      </c>
      <c r="Q31" s="112" t="e">
        <f>P31-O31</f>
        <v>#N/A</v>
      </c>
      <c r="R31" s="1009" t="e">
        <f>ABS(Q31)</f>
        <v>#N/A</v>
      </c>
      <c r="T31" s="758"/>
    </row>
    <row r="32" spans="1:20" s="2" customFormat="1" ht="30" customHeight="1" thickBot="1" x14ac:dyDescent="0.3">
      <c r="A32" s="7"/>
      <c r="B32" s="1783" t="s">
        <v>42</v>
      </c>
      <c r="C32" s="1784"/>
      <c r="D32" s="1016" t="e">
        <f>VLOOKUP($A$26,DATOS!$B$24:$M$26,8,FALSE)</f>
        <v>#N/A</v>
      </c>
      <c r="E32" s="1016" t="s">
        <v>4</v>
      </c>
      <c r="F32" s="1016" t="e">
        <f>VLOOKUP($H$26,DATOS!$B$14:$N$16,8,FALSE)</f>
        <v>#N/A</v>
      </c>
      <c r="G32" s="108" t="s">
        <v>4</v>
      </c>
      <c r="H32" s="10"/>
      <c r="R32" s="7"/>
      <c r="T32" s="758"/>
    </row>
    <row r="33" spans="1:25" s="2" customFormat="1" ht="30" customHeight="1" thickBot="1" x14ac:dyDescent="0.3">
      <c r="A33" s="7"/>
      <c r="B33" s="1783" t="s">
        <v>557</v>
      </c>
      <c r="C33" s="1784"/>
      <c r="D33" s="1016" t="e">
        <f>VLOOKUP($A$26,DATOS!$B$24:$M$26,9,FALSE)</f>
        <v>#N/A</v>
      </c>
      <c r="E33" s="1016" t="s">
        <v>180</v>
      </c>
      <c r="F33" s="1016" t="e">
        <f>VLOOKUP($H$26,DATOS!$B$14:$N$16,9,FALSE)</f>
        <v>#N/A</v>
      </c>
      <c r="G33" s="108" t="s">
        <v>180</v>
      </c>
      <c r="H33" s="7"/>
      <c r="I33" s="1723" t="s">
        <v>82</v>
      </c>
      <c r="J33" s="1724"/>
      <c r="K33" s="1725"/>
      <c r="L33" s="1726"/>
      <c r="N33" s="1727" t="s">
        <v>83</v>
      </c>
      <c r="O33" s="1728"/>
      <c r="P33" s="1729"/>
      <c r="Q33" s="1730"/>
      <c r="T33" s="758"/>
    </row>
    <row r="34" spans="1:25" s="2" customFormat="1" ht="30" customHeight="1" thickBot="1" x14ac:dyDescent="0.3">
      <c r="A34" s="7"/>
      <c r="B34" s="1783" t="s">
        <v>90</v>
      </c>
      <c r="C34" s="1784"/>
      <c r="D34" s="1016" t="e">
        <f>VLOOKUP($A$26,DATOS!$B$24:$M$26,10,FALSE)</f>
        <v>#N/A</v>
      </c>
      <c r="E34" s="1016" t="s">
        <v>13</v>
      </c>
      <c r="F34" s="1016" t="e">
        <f>VLOOKUP($H$26,DATOS!$B$14:$N$16,10,FALSE)</f>
        <v>#N/A</v>
      </c>
      <c r="G34" s="108" t="s">
        <v>13</v>
      </c>
      <c r="H34" s="10"/>
    </row>
    <row r="35" spans="1:25" s="2" customFormat="1" ht="30" customHeight="1" thickBot="1" x14ac:dyDescent="0.3">
      <c r="A35" s="7"/>
      <c r="B35" s="1783" t="s">
        <v>91</v>
      </c>
      <c r="C35" s="1784"/>
      <c r="D35" s="1016" t="e">
        <f>VLOOKUP($A$26,DATOS!$B$24:$M$26,11,FALSE)</f>
        <v>#N/A</v>
      </c>
      <c r="E35" s="1016" t="s">
        <v>13</v>
      </c>
      <c r="F35" s="1016" t="e">
        <f>VLOOKUP($H$26,DATOS!$B$14:$N$16,11,FALSE)</f>
        <v>#N/A</v>
      </c>
      <c r="G35" s="108" t="s">
        <v>13</v>
      </c>
      <c r="H35" s="10"/>
      <c r="I35" s="1709" t="s">
        <v>562</v>
      </c>
      <c r="J35" s="1710"/>
      <c r="K35" s="1710"/>
      <c r="L35" s="1710"/>
      <c r="M35" s="1710"/>
      <c r="N35" s="1710"/>
      <c r="O35" s="1710"/>
      <c r="P35" s="1710"/>
      <c r="Q35" s="1151" t="s">
        <v>424</v>
      </c>
    </row>
    <row r="36" spans="1:25" s="2" customFormat="1" ht="30" customHeight="1" thickBot="1" x14ac:dyDescent="0.3">
      <c r="A36" s="7"/>
      <c r="B36" s="1783" t="s">
        <v>560</v>
      </c>
      <c r="C36" s="1784"/>
      <c r="D36" s="1016" t="e">
        <f>VLOOKUP($A$26,DATOS!$B$24:$M$26,12,FALSE)</f>
        <v>#N/A</v>
      </c>
      <c r="E36" s="1016" t="s">
        <v>180</v>
      </c>
      <c r="F36" s="1016" t="e">
        <f>D36</f>
        <v>#N/A</v>
      </c>
      <c r="G36" s="108" t="s">
        <v>180</v>
      </c>
      <c r="H36" s="10"/>
      <c r="I36" s="1711" t="s">
        <v>85</v>
      </c>
      <c r="J36" s="1712"/>
      <c r="K36" s="1713"/>
      <c r="L36" s="1714" t="s">
        <v>22</v>
      </c>
      <c r="M36" s="1715"/>
      <c r="N36" s="1716"/>
      <c r="O36" s="1020" t="s">
        <v>23</v>
      </c>
      <c r="P36" s="674" t="s">
        <v>15</v>
      </c>
      <c r="Q36" s="178"/>
    </row>
    <row r="37" spans="1:25" s="2" customFormat="1" ht="30" customHeight="1" thickBot="1" x14ac:dyDescent="0.3">
      <c r="A37" s="7"/>
      <c r="B37" s="1783" t="s">
        <v>561</v>
      </c>
      <c r="C37" s="1784"/>
      <c r="D37" s="1016" t="e">
        <f>K58</f>
        <v>#N/A</v>
      </c>
      <c r="E37" s="105" t="s">
        <v>180</v>
      </c>
      <c r="F37" s="1016" t="e">
        <f>D37</f>
        <v>#N/A</v>
      </c>
      <c r="G37" s="113" t="s">
        <v>180</v>
      </c>
      <c r="H37" s="10"/>
      <c r="I37" s="1717" t="s">
        <v>442</v>
      </c>
      <c r="J37" s="1718"/>
      <c r="K37" s="170"/>
      <c r="L37" s="1717" t="s">
        <v>442</v>
      </c>
      <c r="M37" s="1718"/>
      <c r="N37" s="172"/>
      <c r="O37" s="114" t="e">
        <f>AVERAGE(K37,N37)</f>
        <v>#DIV/0!</v>
      </c>
      <c r="P37" s="1044" t="e">
        <f>O37+((VLOOKUP($Q$36,DATOS!$B$161:$O$167,9,FALSE))*O37+(VLOOKUP($Q$36,DATOS!$B$161:$O$167,10,FALSE)))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717" t="s">
        <v>443</v>
      </c>
      <c r="J38" s="1718"/>
      <c r="K38" s="170"/>
      <c r="L38" s="1717" t="s">
        <v>443</v>
      </c>
      <c r="M38" s="1718"/>
      <c r="N38" s="172"/>
      <c r="O38" s="114" t="e">
        <f>AVERAGE(K38,N38)</f>
        <v>#DIV/0!</v>
      </c>
      <c r="P38" s="1044" t="e">
        <f>O38+((VLOOKUP($Q$36,DATOS!$B$161:$O$167,11,FALSE))*O38+(VLOOKUP($Q$36,DATOS!$B$161:$O$167,12,FALSE)))</f>
        <v>#DIV/0!</v>
      </c>
    </row>
    <row r="39" spans="1:25" s="2" customFormat="1" ht="30" customHeight="1" thickBot="1" x14ac:dyDescent="0.3">
      <c r="A39" s="7"/>
      <c r="B39" s="1699" t="s">
        <v>217</v>
      </c>
      <c r="C39" s="1700"/>
      <c r="D39" s="1787" t="e">
        <f>VLOOKUP(H39,DATOS!P9:R13,2,FALSE)</f>
        <v>#N/A</v>
      </c>
      <c r="E39" s="1788"/>
      <c r="F39" s="1788"/>
      <c r="G39" s="1789"/>
      <c r="H39" s="178"/>
      <c r="I39" s="1704" t="s">
        <v>444</v>
      </c>
      <c r="J39" s="1705"/>
      <c r="K39" s="171"/>
      <c r="L39" s="1704" t="s">
        <v>444</v>
      </c>
      <c r="M39" s="1705"/>
      <c r="N39" s="171"/>
      <c r="O39" s="115" t="e">
        <f>AVERAGE(K39,N39)</f>
        <v>#DIV/0!</v>
      </c>
      <c r="P39" s="1044" t="e">
        <f>O39+((VLOOKUP($Q$36,DATOS!$B$161:$O$167,13,FALSE))*O39+(VLOOKUP($Q$36,DATOS!$B$161:$O$167,14,FALSE)))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667" t="s">
        <v>92</v>
      </c>
      <c r="C41" s="1668"/>
      <c r="D41" s="1668"/>
      <c r="E41" s="1668"/>
      <c r="F41" s="1668"/>
      <c r="G41" s="1668"/>
      <c r="H41" s="1668"/>
      <c r="I41" s="1668"/>
      <c r="J41" s="1668"/>
      <c r="K41" s="1668"/>
      <c r="L41" s="1668"/>
      <c r="M41" s="1668"/>
      <c r="N41" s="1669"/>
      <c r="Q41" s="1706" t="s">
        <v>301</v>
      </c>
      <c r="R41" s="1707"/>
      <c r="S41" s="1707"/>
      <c r="T41" s="1707"/>
      <c r="U41" s="1707"/>
      <c r="V41" s="1707"/>
      <c r="W41" s="1707"/>
      <c r="X41" s="1707"/>
      <c r="Y41" s="1708"/>
    </row>
    <row r="42" spans="1:25" s="10" customFormat="1" ht="27.75" customHeight="1" thickBot="1" x14ac:dyDescent="0.3">
      <c r="B42" s="1692" t="s">
        <v>93</v>
      </c>
      <c r="C42" s="1693"/>
      <c r="D42" s="1693"/>
      <c r="E42" s="1693"/>
      <c r="F42" s="1693"/>
      <c r="G42" s="1694"/>
      <c r="I42" s="1692" t="s">
        <v>94</v>
      </c>
      <c r="J42" s="1693"/>
      <c r="K42" s="1693"/>
      <c r="L42" s="1693"/>
      <c r="M42" s="1693"/>
      <c r="N42" s="1694"/>
      <c r="Q42" s="169"/>
      <c r="R42" s="759"/>
      <c r="S42" s="759"/>
      <c r="T42" s="759"/>
      <c r="U42" s="759"/>
      <c r="V42" s="759"/>
      <c r="W42" s="759"/>
      <c r="X42" s="759"/>
      <c r="Y42" s="760"/>
    </row>
    <row r="43" spans="1:25" s="2" customFormat="1" ht="50.1" customHeight="1" thickBot="1" x14ac:dyDescent="0.3">
      <c r="A43" s="178"/>
      <c r="B43" s="787" t="s">
        <v>95</v>
      </c>
      <c r="C43" s="788" t="s">
        <v>96</v>
      </c>
      <c r="D43" s="789" t="s">
        <v>409</v>
      </c>
      <c r="E43" s="788" t="s">
        <v>97</v>
      </c>
      <c r="F43" s="788" t="s">
        <v>98</v>
      </c>
      <c r="G43" s="790" t="s">
        <v>99</v>
      </c>
      <c r="H43" s="10"/>
      <c r="I43" s="791" t="s">
        <v>96</v>
      </c>
      <c r="J43" s="789" t="s">
        <v>409</v>
      </c>
      <c r="K43" s="788" t="s">
        <v>97</v>
      </c>
      <c r="L43" s="788" t="s">
        <v>98</v>
      </c>
      <c r="M43" s="788" t="s">
        <v>99</v>
      </c>
      <c r="N43" s="790" t="s">
        <v>100</v>
      </c>
      <c r="O43" s="178"/>
      <c r="Q43" s="26"/>
      <c r="R43" s="10"/>
      <c r="S43" s="10"/>
      <c r="T43" s="10"/>
      <c r="U43" s="10"/>
      <c r="V43" s="10"/>
      <c r="W43" s="10"/>
      <c r="X43" s="10"/>
      <c r="Y43" s="63"/>
    </row>
    <row r="44" spans="1:25" s="2" customFormat="1" ht="30" customHeight="1" x14ac:dyDescent="0.25">
      <c r="A44" s="7"/>
      <c r="B44" s="767">
        <v>1</v>
      </c>
      <c r="C44" s="768"/>
      <c r="D44" s="769" t="e">
        <f>C44+(VLOOKUP($A$43,DATOS!$A$37:$N$49,13,FALSE))*C44+(VLOOKUP($A$43,DATOS!$A$37:$N$49,14,FALSE))</f>
        <v>#N/A</v>
      </c>
      <c r="E44" s="770"/>
      <c r="F44" s="771"/>
      <c r="G44" s="772">
        <f>E44+F44</f>
        <v>0</v>
      </c>
      <c r="H44" s="14"/>
      <c r="I44" s="782"/>
      <c r="J44" s="769" t="e">
        <f>I44+(VLOOKUP($O$43,DATOS!$A$37:$N$49,13,FALSE))*I44+(VLOOKUP($O$43,DATOS!$A$37:$N$49,14,FALSE))</f>
        <v>#N/A</v>
      </c>
      <c r="K44" s="783"/>
      <c r="L44" s="784"/>
      <c r="M44" s="785">
        <f>K44+L44</f>
        <v>0</v>
      </c>
      <c r="N44" s="786"/>
      <c r="O44" s="10"/>
      <c r="Q44" s="26"/>
      <c r="R44" s="10"/>
      <c r="S44" s="10"/>
      <c r="T44" s="10"/>
      <c r="U44" s="10"/>
      <c r="V44" s="10"/>
      <c r="W44" s="10"/>
      <c r="X44" s="10"/>
      <c r="Y44" s="63"/>
    </row>
    <row r="45" spans="1:25" s="2" customFormat="1" ht="30" customHeight="1" thickBot="1" x14ac:dyDescent="0.3">
      <c r="A45" s="7"/>
      <c r="B45" s="15">
        <v>2</v>
      </c>
      <c r="C45" s="173"/>
      <c r="D45" s="728" t="e">
        <f>C45+(VLOOKUP($A$43,DATOS!$A$37:$N$49,13,FALSE))*C45+(VLOOKUP($A$43,DATOS!$A$37:$N$49,14,FALSE))</f>
        <v>#N/A</v>
      </c>
      <c r="E45" s="205"/>
      <c r="F45" s="206"/>
      <c r="G45" s="713">
        <f t="shared" ref="G45:G46" si="5">E45+F45</f>
        <v>0</v>
      </c>
      <c r="H45" s="14"/>
      <c r="I45" s="755"/>
      <c r="J45" s="728" t="e">
        <f>I45+(VLOOKUP($O$43,DATOS!$A$37:$N$49,13,FALSE))*I45+(VLOOKUP($O$43,DATOS!$A$37:$N$49,14,FALSE))</f>
        <v>#N/A</v>
      </c>
      <c r="K45" s="174"/>
      <c r="L45" s="175"/>
      <c r="M45" s="714">
        <f t="shared" ref="M45:M46" si="6">K45+L45</f>
        <v>0</v>
      </c>
      <c r="N45" s="176"/>
      <c r="O45" s="10"/>
      <c r="Q45" s="26"/>
      <c r="R45" s="10"/>
      <c r="S45" s="10"/>
      <c r="T45" s="10"/>
      <c r="U45" s="10"/>
      <c r="V45" s="10"/>
      <c r="W45" s="10"/>
      <c r="X45" s="10"/>
      <c r="Y45" s="63"/>
    </row>
    <row r="46" spans="1:25" s="16" customFormat="1" ht="30" customHeight="1" thickBot="1" x14ac:dyDescent="0.3">
      <c r="A46" s="116" t="s">
        <v>101</v>
      </c>
      <c r="B46" s="773">
        <v>3</v>
      </c>
      <c r="C46" s="774"/>
      <c r="D46" s="775" t="e">
        <f>C46+(VLOOKUP($A$43,DATOS!$A$37:$N$49,13,FALSE))*C46+(VLOOKUP($A$43,DATOS!$A$37:$N$49,14,FALSE))</f>
        <v>#N/A</v>
      </c>
      <c r="E46" s="776"/>
      <c r="F46" s="777"/>
      <c r="G46" s="778">
        <f t="shared" si="5"/>
        <v>0</v>
      </c>
      <c r="H46" s="14"/>
      <c r="I46" s="779"/>
      <c r="J46" s="775" t="e">
        <f>I46+(VLOOKUP($O$43,DATOS!$A$37:$N$49,13,FALSE))*I46+(VLOOKUP($O$43,DATOS!$A$37:$N$49,14,FALSE))</f>
        <v>#N/A</v>
      </c>
      <c r="K46" s="756"/>
      <c r="L46" s="757"/>
      <c r="M46" s="780">
        <f t="shared" si="6"/>
        <v>0</v>
      </c>
      <c r="N46" s="177"/>
      <c r="O46" s="14"/>
      <c r="Q46" s="761"/>
      <c r="R46" s="762"/>
      <c r="S46" s="762"/>
      <c r="T46" s="762"/>
      <c r="U46" s="762"/>
      <c r="V46" s="762"/>
      <c r="W46" s="762"/>
      <c r="X46" s="762"/>
      <c r="Y46" s="763"/>
    </row>
    <row r="47" spans="1:25" s="16" customFormat="1" ht="30" customHeight="1" thickBot="1" x14ac:dyDescent="0.3">
      <c r="A47" s="13"/>
      <c r="B47" s="764" t="s">
        <v>2</v>
      </c>
      <c r="C47" s="765"/>
      <c r="D47" s="1695" t="s">
        <v>454</v>
      </c>
      <c r="E47" s="1695"/>
      <c r="F47" s="1696"/>
      <c r="G47" s="766" t="e">
        <f>AVERAGE(D44:D46)</f>
        <v>#N/A</v>
      </c>
      <c r="H47" s="14"/>
      <c r="I47" s="765"/>
      <c r="J47" s="1695" t="s">
        <v>455</v>
      </c>
      <c r="K47" s="1695"/>
      <c r="L47" s="1696"/>
      <c r="M47" s="766" t="e">
        <f>AVERAGE(J44:J46)</f>
        <v>#N/A</v>
      </c>
      <c r="N47" s="781"/>
      <c r="O47" s="14"/>
      <c r="Q47" s="10"/>
      <c r="R47" s="10"/>
      <c r="S47" s="10"/>
      <c r="T47" s="10"/>
      <c r="U47" s="10"/>
      <c r="V47" s="10"/>
      <c r="W47" s="10"/>
      <c r="X47" s="10"/>
      <c r="Y47" s="63"/>
    </row>
    <row r="48" spans="1:25" s="16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3"/>
    </row>
    <row r="49" spans="1:18" s="16" customFormat="1" ht="45" customHeight="1" x14ac:dyDescent="0.25">
      <c r="A49" s="13"/>
      <c r="B49" s="14"/>
    </row>
    <row r="50" spans="1:18" s="16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8" s="2" customFormat="1" ht="30" customHeight="1" thickBot="1" x14ac:dyDescent="0.3">
      <c r="A53" s="7"/>
      <c r="B53" s="7"/>
      <c r="C53" s="7"/>
      <c r="D53" s="7"/>
      <c r="E53" s="1667" t="s">
        <v>102</v>
      </c>
      <c r="F53" s="1668"/>
      <c r="G53" s="1668"/>
      <c r="H53" s="1668"/>
      <c r="I53" s="1668"/>
      <c r="J53" s="1668"/>
      <c r="K53" s="1668"/>
      <c r="L53" s="1669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697" t="s">
        <v>95</v>
      </c>
      <c r="F54" s="1698"/>
      <c r="G54" s="189" t="s">
        <v>178</v>
      </c>
      <c r="H54" s="190" t="s">
        <v>179</v>
      </c>
      <c r="I54" s="10"/>
      <c r="J54" s="191"/>
      <c r="K54" s="192"/>
      <c r="L54" s="193"/>
      <c r="M54" s="7"/>
      <c r="N54" s="194" t="s">
        <v>4</v>
      </c>
      <c r="O54" s="1685" t="s">
        <v>103</v>
      </c>
      <c r="P54" s="76"/>
      <c r="Q54" s="80" t="e">
        <f>IF(R30&gt;=(N55)," AJUSTAR","NO AJUSTAR")</f>
        <v>#N/A</v>
      </c>
      <c r="R54" s="73"/>
    </row>
    <row r="55" spans="1:18" s="2" customFormat="1" ht="30" customHeight="1" thickBot="1" x14ac:dyDescent="0.3">
      <c r="A55" s="7"/>
      <c r="E55" s="1792">
        <v>1</v>
      </c>
      <c r="F55" s="1793"/>
      <c r="G55" s="111" t="e">
        <f>$C$7*((1-$D$33*($D$29-D44))+($K$55)*(J44-D44)+$F$33*($F$29-J44))</f>
        <v>#N/A</v>
      </c>
      <c r="H55" s="110" t="e">
        <f>G55+N44</f>
        <v>#N/A</v>
      </c>
      <c r="I55" s="10"/>
      <c r="J55" s="1135">
        <v>1</v>
      </c>
      <c r="K55" s="118" t="e">
        <f>(-0.1176*((D44+J44)/2)^2+(15.846*(D44+J44)/2)-62.677)*10^-6</f>
        <v>#N/A</v>
      </c>
      <c r="L55" s="119" t="s">
        <v>180</v>
      </c>
      <c r="M55" s="10"/>
      <c r="N55" s="830">
        <v>8.1940000000000008</v>
      </c>
      <c r="O55" s="1686"/>
      <c r="P55" s="79"/>
      <c r="Q55" s="195" t="e">
        <f>Q30</f>
        <v>#N/A</v>
      </c>
      <c r="R55" s="79"/>
    </row>
    <row r="56" spans="1:18" s="2" customFormat="1" ht="30" customHeight="1" thickBot="1" x14ac:dyDescent="0.3">
      <c r="A56" s="7"/>
      <c r="E56" s="1792">
        <v>2</v>
      </c>
      <c r="F56" s="1793"/>
      <c r="G56" s="111" t="e">
        <f>$C$7*((1-$D$33*($D$29-D45))+($K$56)*(J45-D45)+$F$33*($F$29-J45))</f>
        <v>#N/A</v>
      </c>
      <c r="H56" s="110" t="e">
        <f>G56+N45</f>
        <v>#N/A</v>
      </c>
      <c r="I56" s="10"/>
      <c r="J56" s="1135">
        <v>2</v>
      </c>
      <c r="K56" s="118" t="e">
        <f>(-0.1176*((D45+J45)/2)^2+(15.846*(D45+J45)/2)-62.677)*10^-6</f>
        <v>#N/A</v>
      </c>
      <c r="L56" s="119" t="s">
        <v>180</v>
      </c>
      <c r="N56" s="196" t="s">
        <v>304</v>
      </c>
      <c r="O56" s="1689" t="s">
        <v>181</v>
      </c>
      <c r="P56" s="78"/>
      <c r="Q56" s="81" t="e">
        <f>IF(R28&gt;=(N57)," AJUSTAR","NO AJUSTAR")</f>
        <v>#N/A</v>
      </c>
      <c r="R56" s="75"/>
    </row>
    <row r="57" spans="1:18" s="2" customFormat="1" ht="30" customHeight="1" thickBot="1" x14ac:dyDescent="0.3">
      <c r="A57" s="7"/>
      <c r="E57" s="1792">
        <v>3</v>
      </c>
      <c r="F57" s="1793"/>
      <c r="G57" s="111" t="e">
        <f>$C$7*((1-$D$33*($D$29-D46))+($K$57)*(J46-D46)+$F$33*($F$29-J46))</f>
        <v>#N/A</v>
      </c>
      <c r="H57" s="110" t="e">
        <f>G57+N46</f>
        <v>#N/A</v>
      </c>
      <c r="I57" s="10"/>
      <c r="J57" s="1135">
        <v>3</v>
      </c>
      <c r="K57" s="118" t="e">
        <f>(-0.1176*((D46+J46)/2)^2+(15.846*(D46+J46)/2)-62.677)*10^-6</f>
        <v>#N/A</v>
      </c>
      <c r="L57" s="119" t="s">
        <v>180</v>
      </c>
      <c r="N57" s="120">
        <v>0.5</v>
      </c>
      <c r="O57" s="1686"/>
      <c r="P57" s="77"/>
      <c r="Q57" s="197" t="e">
        <f>Q28</f>
        <v>#N/A</v>
      </c>
      <c r="R57" s="74"/>
    </row>
    <row r="58" spans="1:18" s="2" customFormat="1" ht="30" customHeight="1" thickBot="1" x14ac:dyDescent="0.3">
      <c r="A58" s="7"/>
      <c r="E58" s="1679" t="s">
        <v>182</v>
      </c>
      <c r="F58" s="1680"/>
      <c r="G58" s="1681"/>
      <c r="H58" s="110" t="e">
        <f>AVERAGE(H55:H57)</f>
        <v>#N/A</v>
      </c>
      <c r="J58" s="20" t="s">
        <v>2</v>
      </c>
      <c r="K58" s="21" t="e">
        <f>AVERAGE(K55:K57)</f>
        <v>#N/A</v>
      </c>
      <c r="L58" s="22" t="s">
        <v>180</v>
      </c>
    </row>
    <row r="59" spans="1:18" s="2" customFormat="1" ht="30" customHeight="1" x14ac:dyDescent="0.25">
      <c r="A59" s="7"/>
      <c r="E59" s="1679" t="s">
        <v>183</v>
      </c>
      <c r="F59" s="1680"/>
      <c r="G59" s="1681"/>
      <c r="H59" s="121" t="e">
        <f>_xlfn.STDEV.S(H55:H57)</f>
        <v>#N/A</v>
      </c>
    </row>
    <row r="60" spans="1:18" s="2" customFormat="1" ht="30" customHeight="1" thickBot="1" x14ac:dyDescent="0.3">
      <c r="A60" s="7"/>
      <c r="B60" s="10"/>
      <c r="E60" s="1682" t="s">
        <v>104</v>
      </c>
      <c r="F60" s="1683"/>
      <c r="G60" s="1684"/>
      <c r="H60" s="123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4"/>
      <c r="J62" s="8"/>
      <c r="K62" s="8"/>
      <c r="L62" s="25"/>
      <c r="M62" s="25"/>
      <c r="N62" s="25"/>
      <c r="O62" s="25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667" t="s">
        <v>105</v>
      </c>
      <c r="C64" s="1668"/>
      <c r="D64" s="1668"/>
      <c r="E64" s="1668"/>
      <c r="F64" s="1668"/>
      <c r="G64" s="1668"/>
      <c r="H64" s="1668"/>
      <c r="I64" s="1668"/>
      <c r="J64" s="1668"/>
      <c r="K64" s="1668"/>
      <c r="L64" s="1669"/>
      <c r="M64" s="10"/>
      <c r="Q64" s="7"/>
      <c r="R64" s="7"/>
    </row>
    <row r="65" spans="1:18" s="2" customFormat="1" ht="30" customHeight="1" x14ac:dyDescent="0.25">
      <c r="A65" s="10"/>
      <c r="B65" s="124"/>
      <c r="C65" s="23"/>
      <c r="D65" s="23"/>
      <c r="E65" s="23"/>
      <c r="F65" s="23"/>
      <c r="G65" s="23"/>
      <c r="H65" s="23"/>
      <c r="I65" s="23"/>
      <c r="J65" s="23"/>
      <c r="K65" s="1142" t="s">
        <v>106</v>
      </c>
      <c r="L65" s="1143" t="s">
        <v>66</v>
      </c>
      <c r="M65" s="10"/>
      <c r="N65" s="1138" t="s">
        <v>66</v>
      </c>
      <c r="O65" s="1139" t="s">
        <v>1</v>
      </c>
      <c r="P65" s="56" t="s">
        <v>0</v>
      </c>
      <c r="Q65" s="7"/>
      <c r="R65" s="7"/>
    </row>
    <row r="66" spans="1:18" s="10" customFormat="1" ht="30" customHeight="1" x14ac:dyDescent="0.25">
      <c r="B66" s="1677" t="s">
        <v>220</v>
      </c>
      <c r="C66" s="1678"/>
      <c r="D66" s="1678"/>
      <c r="E66" s="1134"/>
      <c r="F66" s="1134"/>
      <c r="G66" s="125"/>
      <c r="H66" s="125"/>
      <c r="I66" s="125"/>
      <c r="J66" s="126"/>
      <c r="K66" s="127" t="e">
        <f>(1-$O$74*(O72-O68))+(O78)*(P70-O68)+P76*(P80-P70)</f>
        <v>#N/A</v>
      </c>
      <c r="L66" s="696" t="s">
        <v>412</v>
      </c>
      <c r="N66" s="30"/>
      <c r="O66" s="12" t="e">
        <f>C7</f>
        <v>#N/A</v>
      </c>
      <c r="P66" s="833"/>
    </row>
    <row r="67" spans="1:18" s="2" customFormat="1" ht="5.0999999999999996" customHeight="1" x14ac:dyDescent="0.25">
      <c r="A67" s="10"/>
      <c r="B67" s="62"/>
      <c r="C67" s="9"/>
      <c r="D67" s="9"/>
      <c r="E67" s="9"/>
      <c r="F67" s="128"/>
      <c r="G67" s="122"/>
      <c r="H67" s="122"/>
      <c r="I67" s="122"/>
      <c r="J67" s="122"/>
      <c r="K67" s="9"/>
      <c r="L67" s="697"/>
      <c r="M67" s="10"/>
      <c r="N67" s="27"/>
      <c r="O67" s="28"/>
      <c r="P67" s="29"/>
      <c r="R67" s="7"/>
    </row>
    <row r="68" spans="1:18" s="7" customFormat="1" ht="30" customHeight="1" x14ac:dyDescent="0.25">
      <c r="A68" s="10"/>
      <c r="B68" s="1677" t="s">
        <v>221</v>
      </c>
      <c r="C68" s="1678"/>
      <c r="D68" s="1678"/>
      <c r="E68" s="1678"/>
      <c r="F68" s="1134"/>
      <c r="G68" s="125"/>
      <c r="H68" s="125"/>
      <c r="I68" s="125"/>
      <c r="J68" s="126"/>
      <c r="K68" s="127" t="e">
        <f>$O$66*(O74-O78)</f>
        <v>#N/A</v>
      </c>
      <c r="L68" s="696" t="s">
        <v>445</v>
      </c>
      <c r="N68" s="30"/>
      <c r="O68" s="31" t="e">
        <f>G47</f>
        <v>#N/A</v>
      </c>
      <c r="P68" s="833"/>
    </row>
    <row r="69" spans="1:18" s="2" customFormat="1" ht="5.0999999999999996" customHeight="1" x14ac:dyDescent="0.25">
      <c r="A69" s="10"/>
      <c r="B69" s="62"/>
      <c r="C69" s="9"/>
      <c r="D69" s="9"/>
      <c r="E69" s="9"/>
      <c r="F69" s="128"/>
      <c r="G69" s="122"/>
      <c r="H69" s="122"/>
      <c r="I69" s="122"/>
      <c r="J69" s="122"/>
      <c r="K69" s="9"/>
      <c r="L69" s="698"/>
      <c r="M69" s="7"/>
      <c r="N69" s="27"/>
      <c r="O69" s="28"/>
      <c r="P69" s="29"/>
      <c r="Q69" s="7"/>
      <c r="R69" s="7"/>
    </row>
    <row r="70" spans="1:18" s="7" customFormat="1" ht="30" customHeight="1" x14ac:dyDescent="0.25">
      <c r="A70" s="10"/>
      <c r="B70" s="1677" t="s">
        <v>222</v>
      </c>
      <c r="C70" s="1678"/>
      <c r="D70" s="1678"/>
      <c r="E70" s="1678"/>
      <c r="F70" s="1134"/>
      <c r="G70" s="125"/>
      <c r="H70" s="125"/>
      <c r="I70" s="125"/>
      <c r="J70" s="126"/>
      <c r="K70" s="127" t="e">
        <f>$O$66*(O78-P76)</f>
        <v>#N/A</v>
      </c>
      <c r="L70" s="696" t="s">
        <v>445</v>
      </c>
      <c r="N70" s="30"/>
      <c r="O70" s="834"/>
      <c r="P70" s="32" t="e">
        <f>M47</f>
        <v>#N/A</v>
      </c>
    </row>
    <row r="71" spans="1:18" s="2" customFormat="1" ht="5.0999999999999996" customHeight="1" x14ac:dyDescent="0.25">
      <c r="A71" s="10"/>
      <c r="B71" s="62"/>
      <c r="C71" s="9"/>
      <c r="D71" s="9"/>
      <c r="E71" s="9"/>
      <c r="F71" s="9"/>
      <c r="G71" s="122"/>
      <c r="H71" s="122"/>
      <c r="I71" s="122"/>
      <c r="J71" s="122"/>
      <c r="K71" s="9"/>
      <c r="L71" s="698"/>
      <c r="M71" s="7"/>
      <c r="N71" s="27"/>
      <c r="O71" s="28"/>
      <c r="P71" s="29"/>
      <c r="Q71" s="7"/>
      <c r="R71" s="7"/>
    </row>
    <row r="72" spans="1:18" s="7" customFormat="1" ht="30" customHeight="1" x14ac:dyDescent="0.25">
      <c r="A72" s="10"/>
      <c r="B72" s="1677" t="s">
        <v>219</v>
      </c>
      <c r="C72" s="1678"/>
      <c r="D72" s="1678"/>
      <c r="E72" s="1678"/>
      <c r="F72" s="1678"/>
      <c r="G72" s="125"/>
      <c r="H72" s="125"/>
      <c r="I72" s="125"/>
      <c r="J72" s="126"/>
      <c r="K72" s="127" t="e">
        <f>-O$66*(O72-O68)</f>
        <v>#N/A</v>
      </c>
      <c r="L72" s="696" t="s">
        <v>413</v>
      </c>
      <c r="N72" s="33"/>
      <c r="O72" s="12" t="e">
        <f>D29</f>
        <v>#N/A</v>
      </c>
      <c r="P72" s="34"/>
    </row>
    <row r="73" spans="1:18" s="2" customFormat="1" ht="5.0999999999999996" customHeight="1" x14ac:dyDescent="0.25">
      <c r="A73" s="10"/>
      <c r="B73" s="62"/>
      <c r="C73" s="9"/>
      <c r="D73" s="9"/>
      <c r="E73" s="9"/>
      <c r="F73" s="9"/>
      <c r="G73" s="122"/>
      <c r="H73" s="122"/>
      <c r="I73" s="122"/>
      <c r="J73" s="122"/>
      <c r="K73" s="9"/>
      <c r="L73" s="698"/>
      <c r="M73" s="7"/>
      <c r="N73" s="27"/>
      <c r="O73" s="28"/>
      <c r="P73" s="29"/>
      <c r="Q73" s="7"/>
      <c r="R73" s="7"/>
    </row>
    <row r="74" spans="1:18" s="7" customFormat="1" ht="30" customHeight="1" x14ac:dyDescent="0.25">
      <c r="A74" s="10"/>
      <c r="B74" s="1677" t="s">
        <v>218</v>
      </c>
      <c r="C74" s="1678"/>
      <c r="D74" s="1678"/>
      <c r="E74" s="1678"/>
      <c r="F74" s="1678"/>
      <c r="G74" s="129"/>
      <c r="H74" s="129"/>
      <c r="I74" s="129"/>
      <c r="J74" s="126"/>
      <c r="K74" s="127" t="e">
        <f>$O$66*(P80-P70)</f>
        <v>#N/A</v>
      </c>
      <c r="L74" s="696" t="s">
        <v>413</v>
      </c>
      <c r="N74" s="30"/>
      <c r="O74" s="71" t="e">
        <f>D33</f>
        <v>#N/A</v>
      </c>
      <c r="P74" s="833"/>
    </row>
    <row r="75" spans="1:18" s="2" customFormat="1" ht="5.0999999999999996" customHeight="1" x14ac:dyDescent="0.25">
      <c r="A75" s="10"/>
      <c r="B75" s="62"/>
      <c r="C75" s="9"/>
      <c r="D75" s="9"/>
      <c r="E75" s="9"/>
      <c r="F75" s="9"/>
      <c r="G75" s="122"/>
      <c r="H75" s="122"/>
      <c r="I75" s="122"/>
      <c r="J75" s="122"/>
      <c r="K75" s="9"/>
      <c r="L75" s="698"/>
      <c r="M75" s="7"/>
      <c r="N75" s="27"/>
      <c r="O75" s="28"/>
      <c r="P75" s="29"/>
      <c r="Q75" s="7"/>
      <c r="R75" s="7"/>
    </row>
    <row r="76" spans="1:18" s="7" customFormat="1" ht="30" customHeight="1" x14ac:dyDescent="0.25">
      <c r="A76" s="10"/>
      <c r="B76" s="1677" t="s">
        <v>107</v>
      </c>
      <c r="C76" s="1678"/>
      <c r="D76" s="1678"/>
      <c r="E76" s="1678"/>
      <c r="F76" s="1678"/>
      <c r="G76" s="125"/>
      <c r="H76" s="125"/>
      <c r="I76" s="125"/>
      <c r="J76" s="126"/>
      <c r="K76" s="127" t="e">
        <f>$O$66*(P70-O68)</f>
        <v>#N/A</v>
      </c>
      <c r="L76" s="696" t="s">
        <v>413</v>
      </c>
      <c r="N76" s="30"/>
      <c r="O76" s="834"/>
      <c r="P76" s="715" t="e">
        <f>F33</f>
        <v>#N/A</v>
      </c>
    </row>
    <row r="77" spans="1:18" s="2" customFormat="1" ht="5.0999999999999996" customHeight="1" x14ac:dyDescent="0.25">
      <c r="A77" s="10"/>
      <c r="B77" s="62"/>
      <c r="C77" s="9"/>
      <c r="D77" s="9"/>
      <c r="E77" s="128"/>
      <c r="F77" s="128"/>
      <c r="G77" s="122"/>
      <c r="H77" s="122"/>
      <c r="I77" s="122"/>
      <c r="J77" s="122"/>
      <c r="K77" s="9"/>
      <c r="L77" s="699"/>
      <c r="M77" s="25"/>
      <c r="N77" s="35"/>
      <c r="O77" s="28"/>
      <c r="P77" s="29"/>
      <c r="Q77" s="7"/>
      <c r="R77" s="7"/>
    </row>
    <row r="78" spans="1:18" s="7" customFormat="1" ht="30" customHeight="1" x14ac:dyDescent="0.25">
      <c r="A78" s="10"/>
      <c r="B78" s="1677" t="s">
        <v>108</v>
      </c>
      <c r="C78" s="1678"/>
      <c r="D78" s="1678"/>
      <c r="E78" s="130"/>
      <c r="F78" s="130"/>
      <c r="G78" s="129"/>
      <c r="H78" s="129"/>
      <c r="I78" s="129"/>
      <c r="J78" s="126"/>
      <c r="K78" s="131">
        <v>1</v>
      </c>
      <c r="L78" s="696" t="s">
        <v>412</v>
      </c>
      <c r="M78" s="25"/>
      <c r="N78" s="30"/>
      <c r="O78" s="19" t="e">
        <f>D37</f>
        <v>#N/A</v>
      </c>
      <c r="P78" s="36" t="e">
        <f>F37</f>
        <v>#N/A</v>
      </c>
    </row>
    <row r="79" spans="1:18" s="2" customFormat="1" ht="5.0999999999999996" customHeight="1" x14ac:dyDescent="0.25">
      <c r="A79" s="4"/>
      <c r="B79" s="62"/>
      <c r="C79" s="9"/>
      <c r="D79" s="9"/>
      <c r="E79" s="128"/>
      <c r="F79" s="128"/>
      <c r="G79" s="122"/>
      <c r="H79" s="122"/>
      <c r="I79" s="122"/>
      <c r="J79" s="122"/>
      <c r="K79" s="9"/>
      <c r="L79" s="699"/>
      <c r="M79" s="25"/>
      <c r="N79" s="35"/>
      <c r="O79" s="28"/>
      <c r="P79" s="29"/>
      <c r="Q79" s="7"/>
      <c r="R79" s="7"/>
    </row>
    <row r="80" spans="1:18" s="7" customFormat="1" ht="30" customHeight="1" thickBot="1" x14ac:dyDescent="0.3">
      <c r="A80" s="10"/>
      <c r="B80" s="1677" t="s">
        <v>109</v>
      </c>
      <c r="C80" s="1678"/>
      <c r="D80" s="1678"/>
      <c r="E80" s="130"/>
      <c r="F80" s="130"/>
      <c r="G80" s="129"/>
      <c r="H80" s="129"/>
      <c r="I80" s="129"/>
      <c r="J80" s="126"/>
      <c r="K80" s="131">
        <v>1</v>
      </c>
      <c r="L80" s="696" t="s">
        <v>412</v>
      </c>
      <c r="M80" s="25"/>
      <c r="N80" s="37"/>
      <c r="O80" s="834"/>
      <c r="P80" s="716" t="e">
        <f>F29</f>
        <v>#N/A</v>
      </c>
    </row>
    <row r="81" spans="1:18" s="2" customFormat="1" ht="5.0999999999999996" customHeight="1" x14ac:dyDescent="0.25">
      <c r="A81" s="10"/>
      <c r="B81" s="62"/>
      <c r="C81" s="9"/>
      <c r="D81" s="9"/>
      <c r="E81" s="128"/>
      <c r="F81" s="128"/>
      <c r="G81" s="122"/>
      <c r="H81" s="122"/>
      <c r="I81" s="122"/>
      <c r="J81" s="122"/>
      <c r="K81" s="9"/>
      <c r="L81" s="699"/>
      <c r="M81" s="25"/>
      <c r="Q81" s="7"/>
      <c r="R81" s="7"/>
    </row>
    <row r="82" spans="1:18" s="7" customFormat="1" ht="30" customHeight="1" x14ac:dyDescent="0.25">
      <c r="A82" s="10"/>
      <c r="B82" s="1677" t="s">
        <v>110</v>
      </c>
      <c r="C82" s="1678"/>
      <c r="D82" s="1678"/>
      <c r="E82" s="1134"/>
      <c r="F82" s="1134"/>
      <c r="G82" s="125"/>
      <c r="H82" s="125"/>
      <c r="I82" s="125"/>
      <c r="J82" s="126"/>
      <c r="K82" s="131">
        <v>1</v>
      </c>
      <c r="L82" s="696" t="s">
        <v>412</v>
      </c>
      <c r="M82" s="25"/>
    </row>
    <row r="83" spans="1:18" s="7" customFormat="1" ht="9.75" customHeight="1" thickBot="1" x14ac:dyDescent="0.3">
      <c r="A83" s="10"/>
      <c r="B83" s="761"/>
      <c r="C83" s="762"/>
      <c r="D83" s="762"/>
      <c r="E83" s="762"/>
      <c r="F83" s="762"/>
      <c r="G83" s="762"/>
      <c r="H83" s="762"/>
      <c r="I83" s="762"/>
      <c r="J83" s="762"/>
      <c r="K83" s="762"/>
      <c r="L83" s="832"/>
      <c r="M83" s="25"/>
      <c r="N83" s="25"/>
      <c r="O83" s="38"/>
      <c r="P83" s="10"/>
    </row>
    <row r="84" spans="1:18" s="7" customFormat="1" ht="39.75" customHeight="1" x14ac:dyDescent="0.2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8" s="7" customFormat="1" ht="34.5" customHeight="1" thickBot="1" x14ac:dyDescent="0.3">
      <c r="A85" s="10"/>
      <c r="M85" s="25"/>
      <c r="N85" s="25"/>
      <c r="O85" s="38"/>
      <c r="P85" s="10"/>
    </row>
    <row r="86" spans="1:18" s="7" customFormat="1" ht="34.5" customHeight="1" thickBot="1" x14ac:dyDescent="0.3">
      <c r="A86" s="25"/>
      <c r="B86" s="1667" t="s">
        <v>111</v>
      </c>
      <c r="C86" s="1668"/>
      <c r="D86" s="1668"/>
      <c r="E86" s="1668"/>
      <c r="F86" s="1668"/>
      <c r="G86" s="1668"/>
      <c r="H86" s="1668"/>
      <c r="I86" s="1668"/>
      <c r="J86" s="1668"/>
      <c r="K86" s="1668"/>
      <c r="L86" s="1668"/>
      <c r="M86" s="1668"/>
      <c r="N86" s="1668"/>
      <c r="O86" s="1668"/>
      <c r="P86" s="1668"/>
      <c r="Q86" s="1669"/>
    </row>
    <row r="87" spans="1:18" s="2" customFormat="1" ht="39.950000000000003" customHeight="1" x14ac:dyDescent="0.25">
      <c r="B87" s="1670" t="s">
        <v>112</v>
      </c>
      <c r="C87" s="1671"/>
      <c r="D87" s="1019" t="s">
        <v>184</v>
      </c>
      <c r="E87" s="671" t="s">
        <v>113</v>
      </c>
      <c r="F87" s="1019"/>
      <c r="G87" s="1019" t="s">
        <v>114</v>
      </c>
      <c r="H87" s="672" t="s">
        <v>115</v>
      </c>
      <c r="I87" s="1019"/>
      <c r="J87" s="1142" t="s">
        <v>116</v>
      </c>
      <c r="K87" s="1019"/>
      <c r="L87" s="1142" t="s">
        <v>117</v>
      </c>
      <c r="M87" s="1019"/>
      <c r="N87" s="1142" t="s">
        <v>456</v>
      </c>
      <c r="O87" s="1142" t="s">
        <v>118</v>
      </c>
      <c r="P87" s="1142" t="s">
        <v>119</v>
      </c>
      <c r="Q87" s="132" t="s">
        <v>120</v>
      </c>
    </row>
    <row r="88" spans="1:18" s="2" customFormat="1" ht="39.950000000000003" customHeight="1" x14ac:dyDescent="0.25">
      <c r="A88" s="7"/>
      <c r="B88" s="1790" t="s">
        <v>121</v>
      </c>
      <c r="C88" s="1791"/>
      <c r="D88" s="133" t="e">
        <f>C7</f>
        <v>#N/A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137"/>
      <c r="O88" s="134"/>
      <c r="P88" s="134"/>
      <c r="Q88" s="135"/>
    </row>
    <row r="89" spans="1:18" s="38" customFormat="1" ht="39.950000000000003" customHeight="1" x14ac:dyDescent="0.25">
      <c r="B89" s="1665" t="s">
        <v>122</v>
      </c>
      <c r="C89" s="1666"/>
      <c r="D89" s="136"/>
      <c r="E89" s="39" t="e">
        <f>I7</f>
        <v>#N/A</v>
      </c>
      <c r="F89" s="700" t="s">
        <v>4</v>
      </c>
      <c r="G89" s="39" t="e">
        <f>O7</f>
        <v>#N/A</v>
      </c>
      <c r="H89" s="39" t="e">
        <f>E89/G89</f>
        <v>#N/A</v>
      </c>
      <c r="I89" s="700" t="s">
        <v>4</v>
      </c>
      <c r="J89" s="138" t="e">
        <f>K66</f>
        <v>#N/A</v>
      </c>
      <c r="K89" s="40" t="str">
        <f>L68</f>
        <v>mL°C-1</v>
      </c>
      <c r="L89" s="139" t="e">
        <f>H89*J89</f>
        <v>#N/A</v>
      </c>
      <c r="M89" s="40" t="s">
        <v>4</v>
      </c>
      <c r="N89" s="138" t="e">
        <f>L89^2</f>
        <v>#N/A</v>
      </c>
      <c r="O89" s="40" t="s">
        <v>19</v>
      </c>
      <c r="P89" s="40" t="s">
        <v>123</v>
      </c>
      <c r="Q89" s="41">
        <v>50</v>
      </c>
    </row>
    <row r="90" spans="1:18" s="2" customFormat="1" ht="39.950000000000003" customHeight="1" x14ac:dyDescent="0.25">
      <c r="A90" s="1674"/>
      <c r="B90" s="1665" t="s">
        <v>124</v>
      </c>
      <c r="C90" s="1666"/>
      <c r="D90" s="136"/>
      <c r="E90" s="138">
        <f>K7</f>
        <v>2.0861909451865919</v>
      </c>
      <c r="F90" s="137" t="s">
        <v>4</v>
      </c>
      <c r="G90" s="39">
        <f>SQRT(3)</f>
        <v>1.7320508075688772</v>
      </c>
      <c r="H90" s="39">
        <f>E90/G90</f>
        <v>1.2044629037844388</v>
      </c>
      <c r="I90" s="137" t="str">
        <f>F90</f>
        <v>mL</v>
      </c>
      <c r="J90" s="138" t="e">
        <f>K66</f>
        <v>#N/A</v>
      </c>
      <c r="K90" s="40" t="str">
        <f>L68</f>
        <v>mL°C-1</v>
      </c>
      <c r="L90" s="139" t="e">
        <f>H90*J90</f>
        <v>#N/A</v>
      </c>
      <c r="M90" s="40" t="s">
        <v>4</v>
      </c>
      <c r="N90" s="138" t="e">
        <f>L90^2</f>
        <v>#N/A</v>
      </c>
      <c r="O90" s="40" t="s">
        <v>19</v>
      </c>
      <c r="P90" s="40" t="s">
        <v>5</v>
      </c>
      <c r="Q90" s="41" t="s">
        <v>11</v>
      </c>
      <c r="R90" s="7"/>
    </row>
    <row r="91" spans="1:18" s="2" customFormat="1" ht="5.0999999999999996" customHeight="1" x14ac:dyDescent="0.25">
      <c r="A91" s="1674"/>
      <c r="B91" s="1785"/>
      <c r="C91" s="1786"/>
      <c r="D91" s="1024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7"/>
      <c r="R91" s="7"/>
    </row>
    <row r="92" spans="1:18" s="38" customFormat="1" ht="39.950000000000003" customHeight="1" x14ac:dyDescent="0.25">
      <c r="B92" s="1665" t="s">
        <v>223</v>
      </c>
      <c r="C92" s="1666"/>
      <c r="D92" s="159" t="e">
        <f>C18</f>
        <v>#N/A</v>
      </c>
      <c r="E92" s="1025"/>
      <c r="F92" s="1026"/>
      <c r="G92" s="1026"/>
      <c r="H92" s="1026"/>
      <c r="I92" s="1026"/>
      <c r="J92" s="1026"/>
      <c r="K92" s="1026"/>
      <c r="L92" s="1026"/>
      <c r="M92" s="1026"/>
      <c r="N92" s="1026"/>
      <c r="O92" s="1026"/>
      <c r="P92" s="1026"/>
      <c r="Q92" s="1027"/>
    </row>
    <row r="93" spans="1:18" s="2" customFormat="1" ht="39.950000000000003" customHeight="1" x14ac:dyDescent="0.25">
      <c r="A93" s="10"/>
      <c r="B93" s="1665" t="s">
        <v>224</v>
      </c>
      <c r="C93" s="1666"/>
      <c r="D93" s="140"/>
      <c r="E93" s="139" t="e">
        <f>I18</f>
        <v>#N/A</v>
      </c>
      <c r="F93" s="141" t="str">
        <f>F19</f>
        <v>mL</v>
      </c>
      <c r="G93" s="142" t="e">
        <f>O18</f>
        <v>#N/A</v>
      </c>
      <c r="H93" s="139" t="e">
        <f>+E93/G93</f>
        <v>#N/A</v>
      </c>
      <c r="I93" s="141" t="str">
        <f>F93</f>
        <v>mL</v>
      </c>
      <c r="J93" s="143" t="e">
        <f>D36</f>
        <v>#N/A</v>
      </c>
      <c r="K93" s="141"/>
      <c r="L93" s="144" t="e">
        <f>H93*J93</f>
        <v>#N/A</v>
      </c>
      <c r="M93" s="141" t="s">
        <v>4</v>
      </c>
      <c r="N93" s="144" t="e">
        <f>L93^2</f>
        <v>#N/A</v>
      </c>
      <c r="O93" s="40" t="s">
        <v>19</v>
      </c>
      <c r="P93" s="40" t="s">
        <v>123</v>
      </c>
      <c r="Q93" s="41">
        <v>50</v>
      </c>
      <c r="R93" s="7"/>
    </row>
    <row r="94" spans="1:18" s="38" customFormat="1" ht="39.950000000000003" customHeight="1" x14ac:dyDescent="0.25">
      <c r="B94" s="1665" t="s">
        <v>225</v>
      </c>
      <c r="C94" s="1666"/>
      <c r="D94" s="140"/>
      <c r="E94" s="139" t="e">
        <f>E18</f>
        <v>#N/A</v>
      </c>
      <c r="F94" s="141" t="str">
        <f>F19</f>
        <v>mL</v>
      </c>
      <c r="G94" s="139">
        <f>SQRT(12)</f>
        <v>3.4641016151377544</v>
      </c>
      <c r="H94" s="139" t="e">
        <f>+E94/G94</f>
        <v>#N/A</v>
      </c>
      <c r="I94" s="141" t="str">
        <f t="shared" ref="I94" si="7">F94</f>
        <v>mL</v>
      </c>
      <c r="J94" s="143" t="e">
        <f>D36</f>
        <v>#N/A</v>
      </c>
      <c r="K94" s="141"/>
      <c r="L94" s="164" t="e">
        <f>H94*J94</f>
        <v>#N/A</v>
      </c>
      <c r="M94" s="141" t="s">
        <v>4</v>
      </c>
      <c r="N94" s="164" t="e">
        <f t="shared" ref="N94" si="8">L94^2</f>
        <v>#N/A</v>
      </c>
      <c r="O94" s="40" t="s">
        <v>19</v>
      </c>
      <c r="P94" s="40" t="s">
        <v>5</v>
      </c>
      <c r="Q94" s="41" t="s">
        <v>11</v>
      </c>
    </row>
    <row r="95" spans="1:18" s="2" customFormat="1" ht="39.950000000000003" customHeight="1" x14ac:dyDescent="0.25">
      <c r="A95" s="10"/>
      <c r="B95" s="1665" t="s">
        <v>226</v>
      </c>
      <c r="C95" s="1666"/>
      <c r="D95" s="140"/>
      <c r="E95" s="139" t="e">
        <f>K18</f>
        <v>#N/A</v>
      </c>
      <c r="F95" s="141" t="str">
        <f>F19</f>
        <v>mL</v>
      </c>
      <c r="G95" s="138" t="e">
        <f>K18</f>
        <v>#N/A</v>
      </c>
      <c r="H95" s="145" t="e">
        <f>E95/G95</f>
        <v>#N/A</v>
      </c>
      <c r="I95" s="141" t="str">
        <f>F95</f>
        <v>mL</v>
      </c>
      <c r="J95" s="143" t="e">
        <f>D36</f>
        <v>#N/A</v>
      </c>
      <c r="K95" s="141"/>
      <c r="L95" s="143" t="e">
        <f t="shared" ref="L95" si="9">H95*J95</f>
        <v>#N/A</v>
      </c>
      <c r="M95" s="141" t="s">
        <v>4</v>
      </c>
      <c r="N95" s="146" t="e">
        <f>L95^2</f>
        <v>#N/A</v>
      </c>
      <c r="O95" s="40" t="s">
        <v>19</v>
      </c>
      <c r="P95" s="40" t="s">
        <v>5</v>
      </c>
      <c r="Q95" s="41" t="s">
        <v>11</v>
      </c>
      <c r="R95" s="7"/>
    </row>
    <row r="96" spans="1:18" s="2" customFormat="1" ht="5.0999999999999996" customHeight="1" x14ac:dyDescent="0.25">
      <c r="A96" s="10"/>
      <c r="B96" s="147"/>
      <c r="C96" s="148"/>
      <c r="D96" s="149"/>
      <c r="E96" s="150"/>
      <c r="F96" s="151"/>
      <c r="G96" s="152"/>
      <c r="H96" s="153"/>
      <c r="I96" s="154"/>
      <c r="J96" s="155"/>
      <c r="K96" s="156"/>
      <c r="L96" s="153"/>
      <c r="M96" s="153"/>
      <c r="N96" s="157"/>
      <c r="O96" s="153"/>
      <c r="P96" s="153"/>
      <c r="Q96" s="158"/>
      <c r="R96" s="7"/>
    </row>
    <row r="97" spans="1:90" s="2" customFormat="1" ht="39.950000000000003" customHeight="1" x14ac:dyDescent="0.25">
      <c r="A97" s="10"/>
      <c r="B97" s="1665" t="s">
        <v>125</v>
      </c>
      <c r="C97" s="1666"/>
      <c r="D97" s="159" t="e">
        <f>G47</f>
        <v>#N/A</v>
      </c>
      <c r="E97" s="160" t="e">
        <f>G47</f>
        <v>#N/A</v>
      </c>
      <c r="F97" s="137" t="s">
        <v>3</v>
      </c>
      <c r="G97" s="1026"/>
      <c r="H97" s="1026"/>
      <c r="I97" s="1026"/>
      <c r="J97" s="161"/>
      <c r="K97" s="1026"/>
      <c r="L97" s="1026"/>
      <c r="M97" s="1026"/>
      <c r="N97" s="1026"/>
      <c r="O97" s="1026"/>
      <c r="P97" s="1026"/>
      <c r="Q97" s="1027"/>
      <c r="R97" s="7"/>
    </row>
    <row r="98" spans="1:90" s="2" customFormat="1" ht="39.950000000000003" customHeight="1" x14ac:dyDescent="0.25">
      <c r="A98" s="10"/>
      <c r="B98" s="1645" t="s">
        <v>126</v>
      </c>
      <c r="C98" s="1646"/>
      <c r="D98" s="140"/>
      <c r="E98" s="39" t="e">
        <f>E9</f>
        <v>#N/A</v>
      </c>
      <c r="F98" s="137" t="s">
        <v>3</v>
      </c>
      <c r="G98" s="39">
        <f>SQRT(12)</f>
        <v>3.4641016151377544</v>
      </c>
      <c r="H98" s="39" t="e">
        <f>E98/G98</f>
        <v>#N/A</v>
      </c>
      <c r="I98" s="701" t="s">
        <v>3</v>
      </c>
      <c r="J98" s="143" t="e">
        <f>K68</f>
        <v>#N/A</v>
      </c>
      <c r="K98" s="40" t="s">
        <v>21</v>
      </c>
      <c r="L98" s="39" t="e">
        <f t="shared" ref="L98:L111" si="10">H98*J98</f>
        <v>#N/A</v>
      </c>
      <c r="M98" s="40" t="s">
        <v>4</v>
      </c>
      <c r="N98" s="198" t="e">
        <f t="shared" ref="N98:N111" si="11">L98^2</f>
        <v>#N/A</v>
      </c>
      <c r="O98" s="40" t="s">
        <v>20</v>
      </c>
      <c r="P98" s="40" t="s">
        <v>5</v>
      </c>
      <c r="Q98" s="41" t="s">
        <v>11</v>
      </c>
      <c r="R98" s="7"/>
    </row>
    <row r="99" spans="1:90" s="38" customFormat="1" ht="39.950000000000003" customHeight="1" x14ac:dyDescent="0.25">
      <c r="B99" s="1645" t="s">
        <v>127</v>
      </c>
      <c r="C99" s="1646"/>
      <c r="D99" s="140"/>
      <c r="E99" s="160" t="e">
        <f>MAX(I8:I12)</f>
        <v>#N/A</v>
      </c>
      <c r="F99" s="137" t="str">
        <f>F14</f>
        <v>°C</v>
      </c>
      <c r="G99" s="39" t="e">
        <f>O9</f>
        <v>#N/A</v>
      </c>
      <c r="H99" s="39" t="e">
        <f t="shared" ref="H99:H111" si="12">E99/G99</f>
        <v>#N/A</v>
      </c>
      <c r="I99" s="701" t="s">
        <v>3</v>
      </c>
      <c r="J99" s="143" t="e">
        <f>K68</f>
        <v>#N/A</v>
      </c>
      <c r="K99" s="40" t="s">
        <v>21</v>
      </c>
      <c r="L99" s="39" t="e">
        <f t="shared" si="10"/>
        <v>#N/A</v>
      </c>
      <c r="M99" s="40" t="s">
        <v>4</v>
      </c>
      <c r="N99" s="39" t="e">
        <f t="shared" si="11"/>
        <v>#N/A</v>
      </c>
      <c r="O99" s="40" t="s">
        <v>19</v>
      </c>
      <c r="P99" s="40" t="s">
        <v>123</v>
      </c>
      <c r="Q99" s="41">
        <v>50</v>
      </c>
    </row>
    <row r="100" spans="1:90" s="2" customFormat="1" ht="39.950000000000003" customHeight="1" x14ac:dyDescent="0.25">
      <c r="A100" s="10"/>
      <c r="B100" s="1645" t="s">
        <v>124</v>
      </c>
      <c r="C100" s="1646"/>
      <c r="D100" s="140"/>
      <c r="E100" s="162" t="e">
        <f>K9</f>
        <v>#N/A</v>
      </c>
      <c r="F100" s="137" t="str">
        <f>F14</f>
        <v>°C</v>
      </c>
      <c r="G100" s="39">
        <f>SQRT(3)</f>
        <v>1.7320508075688772</v>
      </c>
      <c r="H100" s="39" t="e">
        <f t="shared" si="12"/>
        <v>#N/A</v>
      </c>
      <c r="I100" s="701" t="s">
        <v>3</v>
      </c>
      <c r="J100" s="143" t="e">
        <f>K68</f>
        <v>#N/A</v>
      </c>
      <c r="K100" s="40" t="s">
        <v>21</v>
      </c>
      <c r="L100" s="39" t="e">
        <f t="shared" si="10"/>
        <v>#N/A</v>
      </c>
      <c r="M100" s="40" t="s">
        <v>4</v>
      </c>
      <c r="N100" s="39" t="e">
        <f t="shared" si="11"/>
        <v>#N/A</v>
      </c>
      <c r="O100" s="40" t="s">
        <v>19</v>
      </c>
      <c r="P100" s="40" t="s">
        <v>5</v>
      </c>
      <c r="Q100" s="41" t="s">
        <v>11</v>
      </c>
      <c r="R100" s="7"/>
    </row>
    <row r="101" spans="1:90" s="2" customFormat="1" ht="39.950000000000003" customHeight="1" x14ac:dyDescent="0.25">
      <c r="A101" s="10"/>
      <c r="B101" s="1645" t="s">
        <v>128</v>
      </c>
      <c r="C101" s="1646"/>
      <c r="D101" s="140"/>
      <c r="E101" s="160" t="e">
        <f>(MAX(D44:D46)-(MIN(D44:D46)))</f>
        <v>#N/A</v>
      </c>
      <c r="F101" s="137" t="str">
        <f>F14</f>
        <v>°C</v>
      </c>
      <c r="G101" s="39">
        <f>SQRT(12)</f>
        <v>3.4641016151377544</v>
      </c>
      <c r="H101" s="39" t="e">
        <f t="shared" si="12"/>
        <v>#N/A</v>
      </c>
      <c r="I101" s="701" t="s">
        <v>3</v>
      </c>
      <c r="J101" s="143" t="e">
        <f>K68</f>
        <v>#N/A</v>
      </c>
      <c r="K101" s="40" t="s">
        <v>21</v>
      </c>
      <c r="L101" s="39" t="e">
        <f t="shared" si="10"/>
        <v>#N/A</v>
      </c>
      <c r="M101" s="40" t="s">
        <v>4</v>
      </c>
      <c r="N101" s="39" t="e">
        <f t="shared" si="11"/>
        <v>#N/A</v>
      </c>
      <c r="O101" s="40" t="s">
        <v>20</v>
      </c>
      <c r="P101" s="40" t="s">
        <v>5</v>
      </c>
      <c r="Q101" s="41" t="s">
        <v>11</v>
      </c>
      <c r="R101" s="7"/>
    </row>
    <row r="102" spans="1:90" s="2" customFormat="1" ht="39.950000000000003" customHeight="1" x14ac:dyDescent="0.25">
      <c r="A102" s="10"/>
      <c r="B102" s="1645" t="s">
        <v>129</v>
      </c>
      <c r="C102" s="1646"/>
      <c r="D102" s="159" t="e">
        <f>M47</f>
        <v>#N/A</v>
      </c>
      <c r="E102" s="160">
        <f>M50</f>
        <v>0</v>
      </c>
      <c r="F102" s="137" t="str">
        <f>F14</f>
        <v>°C</v>
      </c>
      <c r="G102" s="1026"/>
      <c r="H102" s="1026"/>
      <c r="I102" s="673"/>
      <c r="J102" s="161"/>
      <c r="K102" s="1026"/>
      <c r="L102" s="1026"/>
      <c r="M102" s="1026"/>
      <c r="N102" s="1026"/>
      <c r="O102" s="1026"/>
      <c r="P102" s="1026"/>
      <c r="Q102" s="1027"/>
      <c r="R102" s="7"/>
    </row>
    <row r="103" spans="1:90" s="2" customFormat="1" ht="39.950000000000003" customHeight="1" x14ac:dyDescent="0.25">
      <c r="A103" s="10"/>
      <c r="B103" s="1645" t="s">
        <v>126</v>
      </c>
      <c r="C103" s="1646"/>
      <c r="D103" s="140" t="e">
        <f>E14</f>
        <v>#N/A</v>
      </c>
      <c r="E103" s="39" t="e">
        <f>E14</f>
        <v>#N/A</v>
      </c>
      <c r="F103" s="40" t="str">
        <f>F14</f>
        <v>°C</v>
      </c>
      <c r="G103" s="39">
        <f>SQRT(12)</f>
        <v>3.4641016151377544</v>
      </c>
      <c r="H103" s="39" t="e">
        <f t="shared" si="12"/>
        <v>#N/A</v>
      </c>
      <c r="I103" s="701" t="s">
        <v>3</v>
      </c>
      <c r="J103" s="138" t="e">
        <f>K70</f>
        <v>#N/A</v>
      </c>
      <c r="K103" s="40" t="s">
        <v>21</v>
      </c>
      <c r="L103" s="39" t="e">
        <f t="shared" si="10"/>
        <v>#N/A</v>
      </c>
      <c r="M103" s="40" t="s">
        <v>4</v>
      </c>
      <c r="N103" s="39" t="e">
        <f t="shared" si="11"/>
        <v>#N/A</v>
      </c>
      <c r="O103" s="40" t="s">
        <v>20</v>
      </c>
      <c r="P103" s="40" t="s">
        <v>5</v>
      </c>
      <c r="Q103" s="41" t="s">
        <v>11</v>
      </c>
      <c r="R103" s="7"/>
    </row>
    <row r="104" spans="1:90" s="38" customFormat="1" ht="39.950000000000003" customHeight="1" x14ac:dyDescent="0.25">
      <c r="B104" s="1645" t="s">
        <v>127</v>
      </c>
      <c r="C104" s="1646"/>
      <c r="D104" s="140"/>
      <c r="E104" s="160" t="e">
        <f>MAX(I13:I17)</f>
        <v>#N/A</v>
      </c>
      <c r="F104" s="137" t="str">
        <f>F14</f>
        <v>°C</v>
      </c>
      <c r="G104" s="39" t="e">
        <f>O14</f>
        <v>#N/A</v>
      </c>
      <c r="H104" s="39" t="e">
        <f t="shared" si="12"/>
        <v>#N/A</v>
      </c>
      <c r="I104" s="701" t="s">
        <v>3</v>
      </c>
      <c r="J104" s="138" t="e">
        <f>K70</f>
        <v>#N/A</v>
      </c>
      <c r="K104" s="40" t="s">
        <v>21</v>
      </c>
      <c r="L104" s="39" t="e">
        <f>H104*J104</f>
        <v>#N/A</v>
      </c>
      <c r="M104" s="40" t="s">
        <v>4</v>
      </c>
      <c r="N104" s="39" t="e">
        <f>L104^2</f>
        <v>#N/A</v>
      </c>
      <c r="O104" s="40" t="s">
        <v>19</v>
      </c>
      <c r="P104" s="40" t="s">
        <v>123</v>
      </c>
      <c r="Q104" s="41">
        <v>50</v>
      </c>
    </row>
    <row r="105" spans="1:90" s="2" customFormat="1" ht="39.950000000000003" customHeight="1" x14ac:dyDescent="0.25">
      <c r="A105" s="10"/>
      <c r="B105" s="1645" t="s">
        <v>124</v>
      </c>
      <c r="C105" s="1646"/>
      <c r="D105" s="163"/>
      <c r="E105" s="162" t="e">
        <f>K15</f>
        <v>#N/A</v>
      </c>
      <c r="F105" s="137" t="str">
        <f>F14</f>
        <v>°C</v>
      </c>
      <c r="G105" s="39">
        <f>SQRT(3)</f>
        <v>1.7320508075688772</v>
      </c>
      <c r="H105" s="39" t="e">
        <f t="shared" si="12"/>
        <v>#N/A</v>
      </c>
      <c r="I105" s="701" t="s">
        <v>3</v>
      </c>
      <c r="J105" s="138" t="e">
        <f>K70</f>
        <v>#N/A</v>
      </c>
      <c r="K105" s="40" t="s">
        <v>21</v>
      </c>
      <c r="L105" s="39" t="e">
        <f t="shared" si="10"/>
        <v>#N/A</v>
      </c>
      <c r="M105" s="40" t="s">
        <v>4</v>
      </c>
      <c r="N105" s="39" t="e">
        <f t="shared" si="11"/>
        <v>#N/A</v>
      </c>
      <c r="O105" s="40" t="s">
        <v>19</v>
      </c>
      <c r="P105" s="40" t="s">
        <v>5</v>
      </c>
      <c r="Q105" s="41" t="s">
        <v>11</v>
      </c>
      <c r="R105" s="7"/>
    </row>
    <row r="106" spans="1:90" s="2" customFormat="1" ht="39.950000000000003" customHeight="1" x14ac:dyDescent="0.25">
      <c r="A106" s="10"/>
      <c r="B106" s="1645" t="s">
        <v>128</v>
      </c>
      <c r="C106" s="1646"/>
      <c r="D106" s="136"/>
      <c r="E106" s="164" t="e">
        <f>(MAX(J44:J46)-(MIN(J44:J46)))</f>
        <v>#N/A</v>
      </c>
      <c r="F106" s="137" t="str">
        <f>F14</f>
        <v>°C</v>
      </c>
      <c r="G106" s="39">
        <f>SQRT(12)</f>
        <v>3.4641016151377544</v>
      </c>
      <c r="H106" s="39" t="e">
        <f t="shared" si="12"/>
        <v>#N/A</v>
      </c>
      <c r="I106" s="701" t="s">
        <v>3</v>
      </c>
      <c r="J106" s="138" t="e">
        <f>K70</f>
        <v>#N/A</v>
      </c>
      <c r="K106" s="40" t="s">
        <v>21</v>
      </c>
      <c r="L106" s="39" t="e">
        <f t="shared" si="10"/>
        <v>#N/A</v>
      </c>
      <c r="M106" s="40" t="s">
        <v>4</v>
      </c>
      <c r="N106" s="39" t="e">
        <f t="shared" si="11"/>
        <v>#N/A</v>
      </c>
      <c r="O106" s="40" t="s">
        <v>20</v>
      </c>
      <c r="P106" s="40" t="s">
        <v>5</v>
      </c>
      <c r="Q106" s="41" t="s">
        <v>11</v>
      </c>
      <c r="R106" s="7"/>
    </row>
    <row r="107" spans="1:90" s="2" customFormat="1" ht="39.950000000000003" customHeight="1" x14ac:dyDescent="0.25">
      <c r="A107" s="10"/>
      <c r="B107" s="1645" t="s">
        <v>194</v>
      </c>
      <c r="C107" s="1646"/>
      <c r="D107" s="165" t="e">
        <f>D37</f>
        <v>#N/A</v>
      </c>
      <c r="E107" s="166" t="e">
        <f>D37</f>
        <v>#N/A</v>
      </c>
      <c r="F107" s="40" t="s">
        <v>10</v>
      </c>
      <c r="G107" s="1026"/>
      <c r="H107" s="1026"/>
      <c r="I107" s="1026"/>
      <c r="J107" s="161"/>
      <c r="K107" s="1026"/>
      <c r="L107" s="1026"/>
      <c r="M107" s="1026"/>
      <c r="N107" s="1026"/>
      <c r="O107" s="1026"/>
      <c r="P107" s="1026"/>
      <c r="Q107" s="1027"/>
      <c r="R107" s="7"/>
    </row>
    <row r="108" spans="1:90" s="38" customFormat="1" ht="39.950000000000003" customHeight="1" x14ac:dyDescent="0.25">
      <c r="A108" s="10"/>
      <c r="B108" s="1645" t="s">
        <v>556</v>
      </c>
      <c r="C108" s="1646"/>
      <c r="D108" s="136"/>
      <c r="E108" s="39" t="e">
        <f>(D37*5)/100</f>
        <v>#N/A</v>
      </c>
      <c r="F108" s="40" t="s">
        <v>10</v>
      </c>
      <c r="G108" s="39">
        <f>SQRT(3)</f>
        <v>1.7320508075688772</v>
      </c>
      <c r="H108" s="39" t="e">
        <f t="shared" si="12"/>
        <v>#N/A</v>
      </c>
      <c r="I108" s="702" t="s">
        <v>411</v>
      </c>
      <c r="J108" s="138" t="e">
        <f>K76</f>
        <v>#N/A</v>
      </c>
      <c r="K108" s="703" t="s">
        <v>413</v>
      </c>
      <c r="L108" s="39" t="e">
        <f t="shared" si="10"/>
        <v>#N/A</v>
      </c>
      <c r="M108" s="40" t="s">
        <v>4</v>
      </c>
      <c r="N108" s="39" t="e">
        <f t="shared" si="11"/>
        <v>#N/A</v>
      </c>
      <c r="O108" s="40" t="s">
        <v>130</v>
      </c>
      <c r="P108" s="40" t="s">
        <v>5</v>
      </c>
      <c r="Q108" s="41" t="s">
        <v>11</v>
      </c>
      <c r="S108" s="2"/>
    </row>
    <row r="109" spans="1:90" s="46" customFormat="1" ht="39.950000000000003" customHeight="1" x14ac:dyDescent="0.25">
      <c r="A109" s="10"/>
      <c r="B109" s="1645" t="s">
        <v>557</v>
      </c>
      <c r="C109" s="1646"/>
      <c r="D109" s="167" t="s">
        <v>1</v>
      </c>
      <c r="E109" s="166" t="e">
        <f>(D33*5)/100</f>
        <v>#N/A</v>
      </c>
      <c r="F109" s="40" t="s">
        <v>10</v>
      </c>
      <c r="G109" s="39">
        <f>SQRT(3)</f>
        <v>1.7320508075688772</v>
      </c>
      <c r="H109" s="39" t="e">
        <f t="shared" si="12"/>
        <v>#N/A</v>
      </c>
      <c r="I109" s="702" t="s">
        <v>411</v>
      </c>
      <c r="J109" s="160" t="e">
        <f>K72</f>
        <v>#N/A</v>
      </c>
      <c r="K109" s="703" t="s">
        <v>413</v>
      </c>
      <c r="L109" s="39" t="e">
        <f t="shared" si="10"/>
        <v>#N/A</v>
      </c>
      <c r="M109" s="40" t="s">
        <v>4</v>
      </c>
      <c r="N109" s="39" t="e">
        <f t="shared" si="11"/>
        <v>#N/A</v>
      </c>
      <c r="O109" s="40" t="s">
        <v>131</v>
      </c>
      <c r="P109" s="40" t="s">
        <v>5</v>
      </c>
      <c r="Q109" s="41" t="s">
        <v>11</v>
      </c>
      <c r="R109" s="45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8" customFormat="1" ht="39.950000000000003" customHeight="1" x14ac:dyDescent="0.25">
      <c r="B110" s="1645" t="s">
        <v>563</v>
      </c>
      <c r="C110" s="1646"/>
      <c r="D110" s="167" t="s">
        <v>0</v>
      </c>
      <c r="E110" s="166" t="e">
        <f>(F33*5)/100</f>
        <v>#N/A</v>
      </c>
      <c r="F110" s="40" t="s">
        <v>10</v>
      </c>
      <c r="G110" s="39">
        <f>SQRT(3)</f>
        <v>1.7320508075688772</v>
      </c>
      <c r="H110" s="39" t="e">
        <f t="shared" si="12"/>
        <v>#N/A</v>
      </c>
      <c r="I110" s="702" t="s">
        <v>411</v>
      </c>
      <c r="J110" s="160" t="e">
        <f>K74</f>
        <v>#N/A</v>
      </c>
      <c r="K110" s="703" t="s">
        <v>413</v>
      </c>
      <c r="L110" s="39" t="e">
        <f t="shared" si="10"/>
        <v>#N/A</v>
      </c>
      <c r="M110" s="40" t="s">
        <v>4</v>
      </c>
      <c r="N110" s="39" t="e">
        <f t="shared" si="11"/>
        <v>#N/A</v>
      </c>
      <c r="O110" s="40" t="s">
        <v>132</v>
      </c>
      <c r="P110" s="40" t="s">
        <v>5</v>
      </c>
      <c r="Q110" s="41" t="s">
        <v>11</v>
      </c>
    </row>
    <row r="111" spans="1:90" s="2" customFormat="1" ht="39.950000000000003" customHeight="1" thickBot="1" x14ac:dyDescent="0.3">
      <c r="A111" s="7"/>
      <c r="B111" s="1645" t="s">
        <v>557</v>
      </c>
      <c r="C111" s="1646"/>
      <c r="D111" s="199" t="s">
        <v>31</v>
      </c>
      <c r="E111" s="200">
        <f>((0.0000099*0.075)/(SQRT(12)))</f>
        <v>2.1434128743664856E-7</v>
      </c>
      <c r="F111" s="42" t="s">
        <v>10</v>
      </c>
      <c r="G111" s="43">
        <f>SQRT(3)</f>
        <v>1.7320508075688772</v>
      </c>
      <c r="H111" s="201">
        <f t="shared" si="12"/>
        <v>1.2375000000000001E-7</v>
      </c>
      <c r="I111" s="702" t="s">
        <v>411</v>
      </c>
      <c r="J111" s="202" t="e">
        <f>D36</f>
        <v>#N/A</v>
      </c>
      <c r="K111" s="703" t="s">
        <v>413</v>
      </c>
      <c r="L111" s="203" t="e">
        <f t="shared" si="10"/>
        <v>#N/A</v>
      </c>
      <c r="M111" s="42" t="s">
        <v>4</v>
      </c>
      <c r="N111" s="204" t="e">
        <f t="shared" si="11"/>
        <v>#N/A</v>
      </c>
      <c r="O111" s="42" t="s">
        <v>132</v>
      </c>
      <c r="P111" s="42" t="s">
        <v>5</v>
      </c>
      <c r="Q111" s="44" t="s">
        <v>11</v>
      </c>
    </row>
    <row r="112" spans="1:90" s="2" customFormat="1" ht="30" customHeight="1" thickBot="1" x14ac:dyDescent="0.3">
      <c r="A112" s="25"/>
      <c r="R112" s="7"/>
    </row>
    <row r="113" spans="1:31" s="2" customFormat="1" ht="30" customHeight="1" thickBot="1" x14ac:dyDescent="0.3">
      <c r="A113" s="25"/>
      <c r="B113" s="1647" t="s">
        <v>133</v>
      </c>
      <c r="C113" s="1648"/>
      <c r="D113" s="1648"/>
      <c r="E113" s="1648"/>
      <c r="F113" s="1648"/>
      <c r="G113" s="1648"/>
      <c r="H113" s="1648"/>
      <c r="I113" s="1648"/>
      <c r="J113" s="1648"/>
      <c r="K113" s="1648"/>
      <c r="L113" s="1648"/>
      <c r="M113" s="1648"/>
      <c r="N113" s="1648"/>
      <c r="O113" s="1648"/>
      <c r="P113" s="1648"/>
      <c r="Q113" s="1649"/>
      <c r="R113" s="7"/>
    </row>
    <row r="114" spans="1:31" s="2" customFormat="1" ht="30" customHeight="1" x14ac:dyDescent="0.25">
      <c r="A114" s="10"/>
      <c r="B114" s="1808" t="s">
        <v>134</v>
      </c>
      <c r="C114" s="1809"/>
      <c r="D114" s="1021"/>
      <c r="E114" s="47" t="e">
        <f>(3.1416*(D34)^2/4)*D35</f>
        <v>#N/A</v>
      </c>
      <c r="F114" s="48" t="s">
        <v>4</v>
      </c>
      <c r="G114" s="47">
        <f>SQRT(3)</f>
        <v>1.7320508075688772</v>
      </c>
      <c r="H114" s="47" t="e">
        <f>E114/G114</f>
        <v>#N/A</v>
      </c>
      <c r="I114" s="48" t="s">
        <v>4</v>
      </c>
      <c r="J114" s="47">
        <v>1</v>
      </c>
      <c r="K114" s="48"/>
      <c r="L114" s="47" t="e">
        <f>H114*J114</f>
        <v>#N/A</v>
      </c>
      <c r="M114" s="48" t="s">
        <v>4</v>
      </c>
      <c r="N114" s="47" t="e">
        <f>L114^2</f>
        <v>#N/A</v>
      </c>
      <c r="O114" s="48" t="s">
        <v>18</v>
      </c>
      <c r="P114" s="48" t="s">
        <v>5</v>
      </c>
      <c r="Q114" s="49" t="s">
        <v>11</v>
      </c>
      <c r="R114" s="7"/>
    </row>
    <row r="115" spans="1:31" s="2" customFormat="1" ht="30" customHeight="1" x14ac:dyDescent="0.25">
      <c r="B115" s="1792" t="s">
        <v>135</v>
      </c>
      <c r="C115" s="1793"/>
      <c r="D115" s="1022"/>
      <c r="E115" s="704" t="e">
        <f>((3.1416*(F34)^2)/4)*F35</f>
        <v>#N/A</v>
      </c>
      <c r="F115" s="40" t="s">
        <v>4</v>
      </c>
      <c r="G115" s="39">
        <f>SQRT(3)</f>
        <v>1.7320508075688772</v>
      </c>
      <c r="H115" s="39" t="e">
        <f>E115/G115</f>
        <v>#N/A</v>
      </c>
      <c r="I115" s="40" t="s">
        <v>4</v>
      </c>
      <c r="J115" s="39">
        <v>1</v>
      </c>
      <c r="K115" s="40"/>
      <c r="L115" s="39" t="e">
        <f>H115*J115</f>
        <v>#N/A</v>
      </c>
      <c r="M115" s="40" t="s">
        <v>4</v>
      </c>
      <c r="N115" s="39" t="e">
        <f>L115^2</f>
        <v>#N/A</v>
      </c>
      <c r="O115" s="40" t="s">
        <v>18</v>
      </c>
      <c r="P115" s="40" t="s">
        <v>5</v>
      </c>
      <c r="Q115" s="41" t="s">
        <v>11</v>
      </c>
      <c r="R115" s="7"/>
    </row>
    <row r="116" spans="1:31" s="6" customFormat="1" ht="39.950000000000003" customHeight="1" x14ac:dyDescent="0.25">
      <c r="A116" s="4"/>
      <c r="B116" s="1792" t="s">
        <v>136</v>
      </c>
      <c r="C116" s="1793"/>
      <c r="D116" s="1022"/>
      <c r="E116" s="168" t="e">
        <f>H59</f>
        <v>#N/A</v>
      </c>
      <c r="F116" s="40" t="s">
        <v>4</v>
      </c>
      <c r="G116" s="164">
        <f>SQRT(5)</f>
        <v>2.2360679774997898</v>
      </c>
      <c r="H116" s="138" t="e">
        <f>E116/G116</f>
        <v>#N/A</v>
      </c>
      <c r="I116" s="40" t="s">
        <v>4</v>
      </c>
      <c r="J116" s="57">
        <v>1</v>
      </c>
      <c r="K116" s="40"/>
      <c r="L116" s="39" t="e">
        <f>H116*J116</f>
        <v>#N/A</v>
      </c>
      <c r="M116" s="40" t="s">
        <v>4</v>
      </c>
      <c r="N116" s="160" t="e">
        <f>L116^2</f>
        <v>#N/A</v>
      </c>
      <c r="O116" s="40" t="s">
        <v>6</v>
      </c>
      <c r="P116" s="40" t="s">
        <v>123</v>
      </c>
      <c r="Q116" s="41">
        <f>B46-1</f>
        <v>2</v>
      </c>
      <c r="S116" s="1101"/>
      <c r="T116" s="2"/>
      <c r="U116" s="2"/>
    </row>
    <row r="117" spans="1:31" s="9" customFormat="1" ht="30" customHeight="1" thickBot="1" x14ac:dyDescent="0.3">
      <c r="A117" s="72" t="s">
        <v>137</v>
      </c>
      <c r="B117" s="1806" t="s">
        <v>138</v>
      </c>
      <c r="C117" s="1807"/>
      <c r="D117" s="1023"/>
      <c r="E117" s="705" t="e">
        <f>O66/10000</f>
        <v>#N/A</v>
      </c>
      <c r="F117" s="42" t="s">
        <v>4</v>
      </c>
      <c r="G117" s="705">
        <f>SQRT(3)</f>
        <v>1.7320508075688772</v>
      </c>
      <c r="H117" s="43" t="e">
        <f>E117/G117</f>
        <v>#N/A</v>
      </c>
      <c r="I117" s="42" t="s">
        <v>4</v>
      </c>
      <c r="J117" s="43">
        <v>1</v>
      </c>
      <c r="K117" s="42"/>
      <c r="L117" s="43" t="e">
        <f>H117*J117</f>
        <v>#N/A</v>
      </c>
      <c r="M117" s="42" t="s">
        <v>4</v>
      </c>
      <c r="N117" s="160" t="e">
        <f>L117^2</f>
        <v>#N/A</v>
      </c>
      <c r="O117" s="42" t="s">
        <v>139</v>
      </c>
      <c r="P117" s="42" t="s">
        <v>5</v>
      </c>
      <c r="Q117" s="44" t="s">
        <v>11</v>
      </c>
      <c r="R117" s="51"/>
      <c r="S117" s="1102"/>
      <c r="T117" s="2"/>
      <c r="U117" s="2"/>
    </row>
    <row r="118" spans="1:31" s="9" customFormat="1" ht="45.75" customHeight="1" thickBot="1" x14ac:dyDescent="0.3">
      <c r="A118" s="10"/>
      <c r="L118" s="64"/>
      <c r="M118" s="65"/>
      <c r="N118" s="383" t="e">
        <f>SQRT(SUM(N89:N90,N93:N95,N98:N101,N103:N106,N108:N110,N111,N114,N115,N116,N117,))</f>
        <v>#N/A</v>
      </c>
      <c r="R118" s="51"/>
      <c r="S118" s="1102"/>
      <c r="T118" s="2"/>
      <c r="U118" s="2"/>
      <c r="V118" s="50"/>
      <c r="W118" s="50"/>
    </row>
    <row r="119" spans="1:31" s="9" customFormat="1" ht="41.25" customHeight="1" thickBot="1" x14ac:dyDescent="0.3">
      <c r="A119" s="10"/>
      <c r="B119" s="1636" t="s">
        <v>141</v>
      </c>
      <c r="C119" s="1637"/>
      <c r="D119" s="1637"/>
      <c r="E119" s="1637"/>
      <c r="F119" s="1637"/>
      <c r="G119" s="1637"/>
      <c r="H119" s="1637"/>
      <c r="I119" s="1637"/>
      <c r="J119" s="1638"/>
      <c r="K119" s="10"/>
      <c r="L119" s="1639" t="s">
        <v>140</v>
      </c>
      <c r="M119" s="1640"/>
      <c r="N119" s="384" t="e">
        <f>E121*N118</f>
        <v>#N/A</v>
      </c>
      <c r="O119" s="10"/>
      <c r="P119" s="10"/>
      <c r="Q119" s="10"/>
      <c r="R119" s="51"/>
      <c r="S119" s="1102"/>
      <c r="T119" s="2"/>
      <c r="U119" s="2"/>
      <c r="V119" s="50"/>
      <c r="W119" s="50"/>
    </row>
    <row r="120" spans="1:31" s="2" customFormat="1" ht="34.5" customHeight="1" thickBot="1" x14ac:dyDescent="0.3">
      <c r="A120" s="7"/>
      <c r="B120" s="1104"/>
      <c r="C120" s="362" t="s">
        <v>142</v>
      </c>
      <c r="D120" s="367" t="s">
        <v>143</v>
      </c>
      <c r="E120" s="367" t="s">
        <v>114</v>
      </c>
      <c r="F120" s="367" t="s">
        <v>7</v>
      </c>
      <c r="G120" s="367" t="s">
        <v>446</v>
      </c>
      <c r="H120" s="367" t="s">
        <v>8</v>
      </c>
      <c r="I120" s="367" t="s">
        <v>144</v>
      </c>
      <c r="J120" s="368" t="s">
        <v>145</v>
      </c>
      <c r="K120" s="52"/>
      <c r="L120" s="1641" t="s">
        <v>17</v>
      </c>
      <c r="M120" s="1642"/>
      <c r="N120" s="382" t="e">
        <f>(N118^4)/((L89^4/Q89)+(L99^4/Q99)+(L104^4/Q104)+(L93^4/Q93)+(L116^4/Q116))</f>
        <v>#N/A</v>
      </c>
      <c r="O120" s="10"/>
      <c r="P120" s="10"/>
    </row>
    <row r="121" spans="1:31" s="2" customFormat="1" ht="30" customHeight="1" thickBot="1" x14ac:dyDescent="0.3">
      <c r="A121" s="7"/>
      <c r="B121" s="1045" t="s">
        <v>4</v>
      </c>
      <c r="C121" s="1108" t="e">
        <f>H58</f>
        <v>#N/A</v>
      </c>
      <c r="D121" s="1109" t="e">
        <f>N118</f>
        <v>#N/A</v>
      </c>
      <c r="E121" s="1804">
        <v>2</v>
      </c>
      <c r="F121" s="1110" t="e">
        <f>(D121*E121)</f>
        <v>#N/A</v>
      </c>
      <c r="G121" s="1805">
        <v>95.45</v>
      </c>
      <c r="H121" s="1111" t="e">
        <f>C121-C7</f>
        <v>#N/A</v>
      </c>
      <c r="I121" s="1112" t="e">
        <f>ABS(H121)</f>
        <v>#N/A</v>
      </c>
      <c r="J121" s="1113" t="e">
        <f>F121*I121</f>
        <v>#N/A</v>
      </c>
      <c r="K121" s="53"/>
      <c r="O121" s="7"/>
      <c r="P121" s="7"/>
    </row>
    <row r="122" spans="1:31" s="2" customFormat="1" ht="30" customHeight="1" thickBot="1" x14ac:dyDescent="0.3">
      <c r="A122" s="7"/>
      <c r="B122" s="1045" t="s">
        <v>146</v>
      </c>
      <c r="C122" s="369" t="e">
        <f>C121/L30</f>
        <v>#N/A</v>
      </c>
      <c r="D122" s="694" t="e">
        <f>D121/L30</f>
        <v>#N/A</v>
      </c>
      <c r="E122" s="1657"/>
      <c r="F122" s="695" t="e">
        <f>D122*E121</f>
        <v>#N/A</v>
      </c>
      <c r="G122" s="1660"/>
      <c r="H122" s="369" t="e">
        <f>H121/L30</f>
        <v>#N/A</v>
      </c>
      <c r="I122" s="388" t="e">
        <f>ABS(H122)</f>
        <v>#N/A</v>
      </c>
      <c r="J122" s="389" t="e">
        <f>F122*I122</f>
        <v>#N/A</v>
      </c>
      <c r="K122" s="7"/>
      <c r="M122" s="1643" t="s">
        <v>114</v>
      </c>
      <c r="N122" s="1644"/>
      <c r="O122" s="7"/>
      <c r="P122" s="1093">
        <v>0.3</v>
      </c>
      <c r="Q122" s="1093">
        <v>1.65</v>
      </c>
    </row>
    <row r="123" spans="1:31" s="10" customFormat="1" ht="36.75" customHeight="1" thickBot="1" x14ac:dyDescent="0.3">
      <c r="B123" s="1045" t="s">
        <v>9</v>
      </c>
      <c r="C123" s="1056" t="e">
        <f>C122/L27</f>
        <v>#N/A</v>
      </c>
      <c r="D123" s="1054" t="e">
        <f>D122/L27</f>
        <v>#N/A</v>
      </c>
      <c r="E123" s="1657"/>
      <c r="F123" s="1058" t="e">
        <f>D123*E121</f>
        <v>#N/A</v>
      </c>
      <c r="G123" s="1660"/>
      <c r="H123" s="1056" t="e">
        <f>H122/L27</f>
        <v>#N/A</v>
      </c>
      <c r="I123" s="1049" t="e">
        <f>ABS(H123)</f>
        <v>#N/A</v>
      </c>
      <c r="J123" s="1052" t="e">
        <f>F123*I123</f>
        <v>#N/A</v>
      </c>
      <c r="M123" s="1088" t="e">
        <f>_xlfn.T.INV.2T(0.05,N120)</f>
        <v>#N/A</v>
      </c>
      <c r="N123" s="1089" t="e">
        <f>TINV(0.05,N120)</f>
        <v>#N/A</v>
      </c>
      <c r="P123" s="1662" t="s">
        <v>513</v>
      </c>
      <c r="Q123" s="1663"/>
      <c r="R123" s="1664"/>
      <c r="T123" s="2"/>
      <c r="U123" s="2"/>
      <c r="V123" s="54"/>
      <c r="W123" s="54"/>
      <c r="X123" s="54"/>
      <c r="Y123" s="54"/>
      <c r="Z123" s="54"/>
      <c r="AA123" s="54"/>
    </row>
    <row r="124" spans="1:31" s="2" customFormat="1" ht="42" customHeight="1" thickBot="1" x14ac:dyDescent="0.3">
      <c r="A124" s="7"/>
      <c r="B124" s="1105" t="s">
        <v>400</v>
      </c>
      <c r="C124" s="1106" t="e">
        <f>(C121*100)/C7</f>
        <v>#N/A</v>
      </c>
      <c r="D124" s="1062" t="e">
        <f>(D123/M27)</f>
        <v>#N/A</v>
      </c>
      <c r="E124" s="1658"/>
      <c r="F124" s="1061" t="e">
        <f>(D124*E121)</f>
        <v>#N/A</v>
      </c>
      <c r="G124" s="1661"/>
      <c r="H124" s="1060" t="e">
        <f>(H123*100)/M27</f>
        <v>#N/A</v>
      </c>
      <c r="I124" s="670" t="e">
        <f>(I123*100)/M27</f>
        <v>#N/A</v>
      </c>
      <c r="J124" s="1059" t="e">
        <f>(J123*100)/M27</f>
        <v>#N/A</v>
      </c>
      <c r="K124" s="7"/>
      <c r="L124" s="7"/>
      <c r="M124" s="1114" t="s">
        <v>502</v>
      </c>
      <c r="N124" s="1148" t="e">
        <f>MAX(N89:N90,N93:N95,N98:N101,N103:N106,N108:N111,N114:N117)</f>
        <v>#N/A</v>
      </c>
      <c r="O124" s="1120" t="e">
        <f>IF((N124)&lt;=(P122),"1,65","k=2")</f>
        <v>#N/A</v>
      </c>
      <c r="P124" s="1114" t="s">
        <v>508</v>
      </c>
      <c r="Q124" s="1115" t="s">
        <v>509</v>
      </c>
      <c r="R124" s="1116" t="s">
        <v>510</v>
      </c>
      <c r="S124" s="1100"/>
      <c r="T124" s="1100"/>
      <c r="U124" s="1103"/>
      <c r="V124" s="1103"/>
      <c r="W124" s="1103"/>
      <c r="X124" s="1103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386"/>
      <c r="D125" s="387"/>
      <c r="E125" s="385"/>
      <c r="K125" s="10"/>
      <c r="L125" s="10"/>
      <c r="M125" s="1117" t="s">
        <v>512</v>
      </c>
      <c r="N125" s="1146" t="e">
        <f>(SQRT(SUM(N90,N93:N95,N98:N101,N103:N106,N108:N111,N114:N117)))/N89</f>
        <v>#N/A</v>
      </c>
      <c r="O125" s="122"/>
      <c r="P125" s="1117" t="s">
        <v>508</v>
      </c>
      <c r="Q125" s="1118" t="s">
        <v>515</v>
      </c>
      <c r="R125" s="1119" t="s">
        <v>511</v>
      </c>
      <c r="S125" s="1087"/>
      <c r="T125" s="1087"/>
      <c r="V125" s="1761"/>
      <c r="W125" s="1761"/>
      <c r="X125" s="1761"/>
    </row>
  </sheetData>
  <sheetProtection algorithmName="SHA-512" hashValue="okAeb78cZn6TJs2CROXj1mkWKbZe8Vlpcubf7zoths6g1VEfbrXt8aq4+5pHex6eu0enUnCyYM4l2UJJtctTVQ==" saltValue="i7yJJC2bA/y3Fopp7jen9A==" spinCount="100000" sheet="1" objects="1" scenarios="1"/>
  <mergeCells count="138">
    <mergeCell ref="B25:C25"/>
    <mergeCell ref="D25:E25"/>
    <mergeCell ref="F25:G25"/>
    <mergeCell ref="E121:E124"/>
    <mergeCell ref="G121:G124"/>
    <mergeCell ref="V125:X125"/>
    <mergeCell ref="P123:R123"/>
    <mergeCell ref="Q41:Y41"/>
    <mergeCell ref="B42:G42"/>
    <mergeCell ref="B41:N41"/>
    <mergeCell ref="R25:R26"/>
    <mergeCell ref="B116:C116"/>
    <mergeCell ref="B117:C117"/>
    <mergeCell ref="B119:J119"/>
    <mergeCell ref="B106:C106"/>
    <mergeCell ref="B107:C107"/>
    <mergeCell ref="B114:C114"/>
    <mergeCell ref="B115:C115"/>
    <mergeCell ref="B113:Q113"/>
    <mergeCell ref="B108:C108"/>
    <mergeCell ref="B93:C93"/>
    <mergeCell ref="O56:O57"/>
    <mergeCell ref="D26:E26"/>
    <mergeCell ref="D27:E27"/>
    <mergeCell ref="B24:G24"/>
    <mergeCell ref="P33:Q33"/>
    <mergeCell ref="O54:O55"/>
    <mergeCell ref="B66:D66"/>
    <mergeCell ref="B68:E68"/>
    <mergeCell ref="B70:E70"/>
    <mergeCell ref="M122:N122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7:C97"/>
    <mergeCell ref="B98:C98"/>
    <mergeCell ref="B99:C99"/>
    <mergeCell ref="B109:C109"/>
    <mergeCell ref="B110:C110"/>
    <mergeCell ref="B111:C111"/>
    <mergeCell ref="L120:M120"/>
    <mergeCell ref="L119:M119"/>
    <mergeCell ref="B36:C36"/>
    <mergeCell ref="S19:S20"/>
    <mergeCell ref="L19:L20"/>
    <mergeCell ref="H19:H20"/>
    <mergeCell ref="J19:J20"/>
    <mergeCell ref="I38:J38"/>
    <mergeCell ref="I37:J37"/>
    <mergeCell ref="I35:P35"/>
    <mergeCell ref="I36:K36"/>
    <mergeCell ref="L36:N36"/>
    <mergeCell ref="L37:M37"/>
    <mergeCell ref="L38:M38"/>
    <mergeCell ref="I24:R24"/>
    <mergeCell ref="A1:B1"/>
    <mergeCell ref="D1:R1"/>
    <mergeCell ref="D3:E3"/>
    <mergeCell ref="G3:H3"/>
    <mergeCell ref="J3:K3"/>
    <mergeCell ref="M3:N3"/>
    <mergeCell ref="P3:R3"/>
    <mergeCell ref="A5:R5"/>
    <mergeCell ref="I33:J33"/>
    <mergeCell ref="K33:L33"/>
    <mergeCell ref="I25:I26"/>
    <mergeCell ref="J25:J26"/>
    <mergeCell ref="K25:K26"/>
    <mergeCell ref="L25:L26"/>
    <mergeCell ref="M25:M26"/>
    <mergeCell ref="O25:O26"/>
    <mergeCell ref="N33:O33"/>
    <mergeCell ref="A8:A12"/>
    <mergeCell ref="A13:A17"/>
    <mergeCell ref="O19:O20"/>
    <mergeCell ref="P19:P20"/>
    <mergeCell ref="P25:P26"/>
    <mergeCell ref="Q25:Q26"/>
    <mergeCell ref="Q6:R6"/>
    <mergeCell ref="A90:A91"/>
    <mergeCell ref="B90:C90"/>
    <mergeCell ref="B91:C91"/>
    <mergeCell ref="E53:L53"/>
    <mergeCell ref="B39:C39"/>
    <mergeCell ref="B76:F76"/>
    <mergeCell ref="B78:D78"/>
    <mergeCell ref="B80:D80"/>
    <mergeCell ref="B82:D82"/>
    <mergeCell ref="I42:N42"/>
    <mergeCell ref="D39:G39"/>
    <mergeCell ref="B72:F72"/>
    <mergeCell ref="J47:L47"/>
    <mergeCell ref="I39:J39"/>
    <mergeCell ref="L39:M39"/>
    <mergeCell ref="B88:C88"/>
    <mergeCell ref="E55:F55"/>
    <mergeCell ref="E56:F56"/>
    <mergeCell ref="E57:F57"/>
    <mergeCell ref="E59:G59"/>
    <mergeCell ref="E60:G60"/>
    <mergeCell ref="B74:F74"/>
    <mergeCell ref="D47:F47"/>
    <mergeCell ref="B64:L64"/>
    <mergeCell ref="F19:F20"/>
    <mergeCell ref="D19:D20"/>
    <mergeCell ref="N19:N20"/>
    <mergeCell ref="B19:B20"/>
    <mergeCell ref="C19:C20"/>
    <mergeCell ref="E19:E20"/>
    <mergeCell ref="G19:G20"/>
    <mergeCell ref="I19:I20"/>
    <mergeCell ref="K19:K20"/>
    <mergeCell ref="D28:E28"/>
    <mergeCell ref="F26:G26"/>
    <mergeCell ref="F27:G27"/>
    <mergeCell ref="F28:G28"/>
    <mergeCell ref="B89:C89"/>
    <mergeCell ref="E54:F54"/>
    <mergeCell ref="E58:G58"/>
    <mergeCell ref="B86:Q86"/>
    <mergeCell ref="B87:C87"/>
    <mergeCell ref="B37:C37"/>
    <mergeCell ref="B92:C9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&amp;RRT03-F11 Vr.6(2019-05-14)</oddFooter>
  </headerFooter>
  <rowBreaks count="1" manualBreakCount="1">
    <brk id="60" max="24" man="1"/>
  </rowBreaks>
  <ignoredErrors>
    <ignoredError sqref="Q55 Q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DATOS!$C$30:$C$32</xm:f>
          </x14:formula1>
          <xm:sqref>S7</xm:sqref>
        </x14:dataValidation>
        <x14:dataValidation type="list" allowBlank="1" showInputMessage="1" showErrorMessage="1">
          <x14:formula1>
            <xm:f>DATOS!$C$111:$C$116</xm:f>
          </x14:formula1>
          <xm:sqref>S18</xm:sqref>
        </x14:dataValidation>
        <x14:dataValidation type="list" allowBlank="1" showInputMessage="1" showErrorMessage="1">
          <x14:formula1>
            <xm:f>DATOS!$C$120:$C$126</xm:f>
          </x14:formula1>
          <xm:sqref>S19:S20</xm:sqref>
        </x14:dataValidation>
        <x14:dataValidation type="list" allowBlank="1" showInputMessage="1" showErrorMessage="1">
          <x14:formula1>
            <xm:f>DATOS!$C$130:$C$131</xm:f>
          </x14:formula1>
          <xm:sqref>S21</xm:sqref>
        </x14:dataValidation>
        <x14:dataValidation type="list" allowBlank="1" showInputMessage="1" showErrorMessage="1">
          <x14:formula1>
            <xm:f>DATOS!$C$136:$C$151</xm:f>
          </x14:formula1>
          <xm:sqref>S22</xm:sqref>
        </x14:dataValidation>
        <x14:dataValidation type="list" allowBlank="1" showInputMessage="1" showErrorMessage="1">
          <x14:formula1>
            <xm:f>DATOS!$B$24:$B$26</xm:f>
          </x14:formula1>
          <xm:sqref>A26</xm:sqref>
        </x14:dataValidation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DATOS!$B$14:$B$16</xm:f>
          </x14:formula1>
          <xm:sqref>H26</xm:sqref>
        </x14:dataValidation>
        <x14:dataValidation type="list" allowBlank="1" showInputMessage="1" showErrorMessage="1">
          <x14:formula1>
            <xm:f>DATOS!$B$161:$B$166</xm:f>
          </x14:formula1>
          <xm:sqref>Q36</xm:sqref>
        </x14:dataValidation>
        <x14:dataValidation type="list" allowBlank="1" showInputMessage="1" showErrorMessage="1">
          <x14:formula1>
            <xm:f>DATOS!$P$9:$P$13</xm:f>
          </x14:formula1>
          <xm:sqref>H39</xm:sqref>
        </x14:dataValidation>
        <x14:dataValidation type="list" allowBlank="1" showInputMessage="1" showErrorMessage="1">
          <x14:formula1>
            <xm:f>DATOS!$C$37:$C$42</xm:f>
          </x14:formula1>
          <xm:sqref>S13:S17</xm:sqref>
        </x14:dataValidation>
        <x14:dataValidation type="list" allowBlank="1" showInputMessage="1" showErrorMessage="1">
          <x14:formula1>
            <xm:f>DATOS!$C$43:$C$48</xm:f>
          </x14:formula1>
          <xm:sqref>S8:S12</xm:sqref>
        </x14:dataValidation>
        <x14:dataValidation type="list" allowBlank="1" showInputMessage="1" showErrorMessage="1">
          <x14:formula1>
            <xm:f>DATOS!$A$45:$A$46</xm:f>
          </x14:formula1>
          <xm:sqref>A43</xm:sqref>
        </x14:dataValidation>
        <x14:dataValidation type="list" allowBlank="1" showInputMessage="1" showErrorMessage="1">
          <x14:formula1>
            <xm:f>DATOS!$A$39:$A$40</xm:f>
          </x14:formula1>
          <xm:sqref>O43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AC61"/>
  <sheetViews>
    <sheetView showGridLines="0" view="pageBreakPreview" topLeftCell="B1" zoomScale="70" zoomScaleNormal="25" zoomScaleSheetLayoutView="70" zoomScalePageLayoutView="10" workbookViewId="0">
      <selection activeCell="J57" sqref="J57"/>
    </sheetView>
  </sheetViews>
  <sheetFormatPr baseColWidth="10" defaultColWidth="15.7109375" defaultRowHeight="15" x14ac:dyDescent="0.2"/>
  <cols>
    <col min="1" max="7" width="15.7109375" style="83"/>
    <col min="8" max="10" width="15.85546875" style="83" bestFit="1" customWidth="1"/>
    <col min="11" max="11" width="16" style="83" bestFit="1" customWidth="1"/>
    <col min="12" max="16384" width="15.7109375" style="83"/>
  </cols>
  <sheetData>
    <row r="1" spans="1:29" s="210" customFormat="1" ht="75" customHeight="1" thickBot="1" x14ac:dyDescent="0.3">
      <c r="A1" s="1860"/>
      <c r="B1" s="1861"/>
      <c r="C1" s="208"/>
      <c r="D1" s="1875" t="s">
        <v>410</v>
      </c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  <c r="S1" s="1876"/>
      <c r="T1" s="1876"/>
      <c r="U1" s="1876"/>
      <c r="V1" s="1876"/>
      <c r="W1" s="209"/>
    </row>
    <row r="2" spans="1:29" s="213" customFormat="1" ht="5.0999999999999996" customHeight="1" thickBot="1" x14ac:dyDescent="0.3">
      <c r="A2" s="1141"/>
      <c r="B2" s="1141"/>
      <c r="C2" s="211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29" s="213" customFormat="1" ht="39.950000000000003" customHeight="1" thickBot="1" x14ac:dyDescent="0.3">
      <c r="A3" s="66" t="s">
        <v>52</v>
      </c>
      <c r="B3" s="179" t="e">
        <f>VLOOKUP(S3,DATOS!D7:N19,2,FALSE)</f>
        <v>#N/A</v>
      </c>
      <c r="C3" s="67" t="s">
        <v>202</v>
      </c>
      <c r="D3" s="1868" t="e">
        <f>VLOOKUP(S3,DATOS!D7:N19,3,FALSE)</f>
        <v>#N/A</v>
      </c>
      <c r="E3" s="1868"/>
      <c r="F3" s="68" t="s">
        <v>457</v>
      </c>
      <c r="G3" s="1752" t="e">
        <f>VLOOKUP(S3,DATOS!D7:N19,7,FALSE)</f>
        <v>#N/A</v>
      </c>
      <c r="H3" s="1752"/>
      <c r="I3" s="68" t="s">
        <v>203</v>
      </c>
      <c r="J3" s="1752" t="e">
        <f>VLOOKUP(S3,DATOS!D7:N19,4,FALSE)</f>
        <v>#N/A</v>
      </c>
      <c r="K3" s="1752"/>
      <c r="L3" s="68" t="s">
        <v>29</v>
      </c>
      <c r="M3" s="1157" t="e">
        <f>VLOOKUP(S3,DATOS!D7:N19,6,FALSE)</f>
        <v>#N/A</v>
      </c>
      <c r="N3" s="1157"/>
      <c r="O3" s="68" t="s">
        <v>205</v>
      </c>
      <c r="P3" s="1752" t="e">
        <f>VLOOKUP(S3,DATOS!D7:N19,11,FALSE)</f>
        <v>#N/A</v>
      </c>
      <c r="Q3" s="1752"/>
      <c r="R3" s="1753"/>
      <c r="S3" s="178"/>
    </row>
    <row r="4" spans="1:29" s="211" customFormat="1" ht="39.950000000000003" customHeight="1" x14ac:dyDescent="0.25">
      <c r="C4" s="1156"/>
    </row>
    <row r="5" spans="1:29" ht="39.950000000000003" customHeight="1" thickBot="1" x14ac:dyDescent="0.25">
      <c r="A5" s="214"/>
      <c r="H5" s="211"/>
      <c r="J5" s="211"/>
      <c r="P5" s="209"/>
      <c r="Q5" s="209"/>
      <c r="R5" s="209"/>
      <c r="S5" s="209"/>
      <c r="T5" s="209"/>
      <c r="U5" s="209"/>
      <c r="V5" s="209"/>
      <c r="X5" s="209"/>
      <c r="Y5" s="209"/>
      <c r="Z5" s="209"/>
      <c r="AA5" s="209"/>
      <c r="AB5" s="215"/>
      <c r="AC5" s="209"/>
    </row>
    <row r="6" spans="1:29" ht="39.950000000000003" customHeight="1" thickBot="1" x14ac:dyDescent="0.25">
      <c r="A6" s="1667" t="s">
        <v>315</v>
      </c>
      <c r="B6" s="1668"/>
      <c r="C6" s="1668"/>
      <c r="D6" s="1668"/>
      <c r="E6" s="1668"/>
      <c r="F6" s="1668"/>
      <c r="G6" s="1669"/>
      <c r="H6" s="1723" t="s">
        <v>82</v>
      </c>
      <c r="I6" s="1724"/>
      <c r="J6" s="1725"/>
      <c r="K6" s="1726"/>
      <c r="L6" s="1862" t="s">
        <v>147</v>
      </c>
      <c r="M6" s="1863"/>
      <c r="N6" s="1863"/>
      <c r="O6" s="1863"/>
      <c r="P6" s="1864"/>
      <c r="Q6" s="1869" t="s">
        <v>148</v>
      </c>
      <c r="R6" s="1870"/>
      <c r="S6" s="1870"/>
      <c r="T6" s="1870"/>
      <c r="U6" s="1870"/>
      <c r="V6" s="1871"/>
      <c r="W6" s="209"/>
      <c r="X6" s="209"/>
      <c r="Y6" s="209"/>
      <c r="Z6" s="209"/>
      <c r="AA6" s="209"/>
      <c r="AB6" s="215"/>
      <c r="AC6" s="209"/>
    </row>
    <row r="7" spans="1:29" ht="39.950000000000003" customHeight="1" thickBot="1" x14ac:dyDescent="0.25">
      <c r="A7" s="117" t="s">
        <v>188</v>
      </c>
      <c r="B7" s="216" t="s">
        <v>310</v>
      </c>
      <c r="C7" s="217" t="s">
        <v>311</v>
      </c>
      <c r="D7" s="180" t="s">
        <v>312</v>
      </c>
      <c r="E7" s="180" t="s">
        <v>313</v>
      </c>
      <c r="F7" s="218" t="s">
        <v>314</v>
      </c>
      <c r="G7" s="219" t="s">
        <v>114</v>
      </c>
      <c r="H7" s="1699" t="s">
        <v>217</v>
      </c>
      <c r="I7" s="1700"/>
      <c r="J7" s="1158" t="e">
        <f>VLOOKUP(K7,DATOS!$P$9:$Q$13,2,FALSE)</f>
        <v>#N/A</v>
      </c>
      <c r="K7" s="178"/>
      <c r="L7" s="1865"/>
      <c r="M7" s="1866"/>
      <c r="N7" s="1866"/>
      <c r="O7" s="1866"/>
      <c r="P7" s="1867"/>
      <c r="Q7" s="1872"/>
      <c r="R7" s="1873"/>
      <c r="S7" s="1873"/>
      <c r="T7" s="1873"/>
      <c r="U7" s="1873"/>
      <c r="V7" s="1874"/>
      <c r="X7" s="220"/>
      <c r="Y7" s="220"/>
      <c r="Z7" s="220"/>
      <c r="AA7" s="220"/>
      <c r="AB7" s="221"/>
      <c r="AC7" s="220"/>
    </row>
    <row r="8" spans="1:29" ht="39.950000000000003" customHeight="1" thickBot="1" x14ac:dyDescent="0.25">
      <c r="A8" s="222" t="e">
        <f>'RT03-F33'!B19:B19</f>
        <v>#N/A</v>
      </c>
      <c r="B8" s="223" t="e">
        <f>'RT03-F33'!Q20</f>
        <v>#N/A</v>
      </c>
      <c r="C8" s="224" t="e">
        <f>'RT03-F33'!C19</f>
        <v>#N/A</v>
      </c>
      <c r="D8" s="225" t="e">
        <f>'RT03-F33'!E19</f>
        <v>#N/A</v>
      </c>
      <c r="E8" s="829" t="e">
        <f>'RT03-F33'!G19</f>
        <v>#N/A</v>
      </c>
      <c r="F8" s="226" t="e">
        <f>'RT03-F33'!I19</f>
        <v>#N/A</v>
      </c>
      <c r="G8" s="227" t="e">
        <f>'RT03-F33'!O19</f>
        <v>#N/A</v>
      </c>
      <c r="H8" s="1727" t="s">
        <v>83</v>
      </c>
      <c r="I8" s="1728"/>
      <c r="J8" s="1729"/>
      <c r="K8" s="1730"/>
      <c r="L8" s="228"/>
      <c r="M8" s="229"/>
      <c r="N8" s="229"/>
      <c r="O8" s="229"/>
      <c r="P8" s="229"/>
      <c r="Q8" s="1821" t="s">
        <v>576</v>
      </c>
      <c r="R8" s="1835" t="s">
        <v>306</v>
      </c>
      <c r="S8" s="1835" t="s">
        <v>577</v>
      </c>
      <c r="T8" s="1835" t="s">
        <v>578</v>
      </c>
      <c r="U8" s="1835" t="s">
        <v>307</v>
      </c>
      <c r="V8" s="1838" t="s">
        <v>308</v>
      </c>
      <c r="W8" s="209"/>
      <c r="X8" s="209"/>
      <c r="Y8" s="209"/>
      <c r="Z8" s="209"/>
      <c r="AA8" s="209"/>
      <c r="AB8" s="215"/>
      <c r="AC8" s="209"/>
    </row>
    <row r="9" spans="1:29" ht="39.950000000000003" customHeight="1" thickBot="1" x14ac:dyDescent="0.25">
      <c r="A9" s="214"/>
      <c r="D9" s="214"/>
      <c r="E9" s="828"/>
      <c r="F9" s="214"/>
      <c r="L9" s="230"/>
      <c r="M9" s="231"/>
      <c r="N9" s="231"/>
      <c r="O9" s="231"/>
      <c r="P9" s="84"/>
      <c r="Q9" s="1822"/>
      <c r="R9" s="1836"/>
      <c r="S9" s="1836"/>
      <c r="T9" s="1836"/>
      <c r="U9" s="1836"/>
      <c r="V9" s="1839"/>
      <c r="AC9" s="209"/>
    </row>
    <row r="10" spans="1:29" ht="39.950000000000003" customHeight="1" thickBot="1" x14ac:dyDescent="0.25">
      <c r="A10" s="214"/>
      <c r="B10" s="1830" t="s">
        <v>275</v>
      </c>
      <c r="C10" s="1831"/>
      <c r="D10" s="1831"/>
      <c r="E10" s="1832"/>
      <c r="F10" s="231"/>
      <c r="H10" s="1830" t="s">
        <v>309</v>
      </c>
      <c r="I10" s="1832"/>
      <c r="L10" s="230"/>
      <c r="M10" s="231"/>
      <c r="N10" s="231"/>
      <c r="O10" s="231"/>
      <c r="P10" s="231"/>
      <c r="Q10" s="1822"/>
      <c r="R10" s="1836"/>
      <c r="S10" s="1837"/>
      <c r="T10" s="1837"/>
      <c r="U10" s="1837"/>
      <c r="V10" s="1840"/>
      <c r="AC10" s="209"/>
    </row>
    <row r="11" spans="1:29" ht="39.950000000000003" customHeight="1" thickBot="1" x14ac:dyDescent="0.4">
      <c r="A11" s="214"/>
      <c r="B11" s="1826" t="s">
        <v>267</v>
      </c>
      <c r="C11" s="1827"/>
      <c r="D11" s="1828" t="s">
        <v>149</v>
      </c>
      <c r="E11" s="1829"/>
      <c r="F11" s="214"/>
      <c r="H11" s="232" t="s">
        <v>265</v>
      </c>
      <c r="I11" s="233" t="s">
        <v>4</v>
      </c>
      <c r="L11" s="234" t="s">
        <v>173</v>
      </c>
      <c r="M11" s="231"/>
      <c r="N11" s="231"/>
      <c r="O11" s="235" t="s">
        <v>150</v>
      </c>
      <c r="P11" s="231"/>
      <c r="Q11" s="1833" t="e">
        <f>B8</f>
        <v>#N/A</v>
      </c>
      <c r="R11" s="1819" t="e">
        <f>C8</f>
        <v>#N/A</v>
      </c>
      <c r="S11" s="353"/>
      <c r="T11" s="236" t="e">
        <f>M19</f>
        <v>#N/A</v>
      </c>
      <c r="U11" s="236" t="e">
        <f>($R$11-T11)</f>
        <v>#N/A</v>
      </c>
      <c r="V11" s="237" t="e">
        <f>U11/$D$12</f>
        <v>#N/A</v>
      </c>
      <c r="AC11" s="220"/>
    </row>
    <row r="12" spans="1:29" ht="39.950000000000003" customHeight="1" thickBot="1" x14ac:dyDescent="0.3">
      <c r="A12" s="214"/>
      <c r="B12" s="238" t="e">
        <f>VLOOKUP(F12,DATOS!$P$110:$R$114,2,FALSE)</f>
        <v>#N/A</v>
      </c>
      <c r="C12" s="239"/>
      <c r="D12" s="240" t="e">
        <f>VLOOKUP(F12,DATOS!$P$110:$R$114,3,FALSE)</f>
        <v>#N/A</v>
      </c>
      <c r="E12" s="241"/>
      <c r="F12" s="357"/>
      <c r="H12" s="242" t="s">
        <v>269</v>
      </c>
      <c r="I12" s="243">
        <f>I13/2</f>
        <v>8.1935300000000009</v>
      </c>
      <c r="L12" s="234" t="s">
        <v>151</v>
      </c>
      <c r="M12" s="235"/>
      <c r="N12" s="235" t="s">
        <v>150</v>
      </c>
      <c r="O12" s="235"/>
      <c r="P12" s="231"/>
      <c r="Q12" s="1833"/>
      <c r="R12" s="1819"/>
      <c r="S12" s="353"/>
      <c r="T12" s="236" t="e">
        <f>M20</f>
        <v>#N/A</v>
      </c>
      <c r="U12" s="236" t="e">
        <f>($R$11-T12)</f>
        <v>#N/A</v>
      </c>
      <c r="V12" s="237" t="e">
        <f>U12/$D$12</f>
        <v>#N/A</v>
      </c>
      <c r="AC12" s="221"/>
    </row>
    <row r="13" spans="1:29" ht="39.950000000000003" customHeight="1" thickBot="1" x14ac:dyDescent="0.4">
      <c r="A13" s="214"/>
      <c r="F13" s="231"/>
      <c r="H13" s="242" t="s">
        <v>270</v>
      </c>
      <c r="I13" s="243">
        <v>16.387060000000002</v>
      </c>
      <c r="L13" s="244" t="s">
        <v>174</v>
      </c>
      <c r="M13" s="245" t="s">
        <v>150</v>
      </c>
      <c r="N13" s="246"/>
      <c r="O13" s="246"/>
      <c r="P13" s="247" t="s">
        <v>152</v>
      </c>
      <c r="Q13" s="1834"/>
      <c r="R13" s="1820"/>
      <c r="S13" s="354"/>
      <c r="T13" s="248" t="e">
        <f>M21</f>
        <v>#N/A</v>
      </c>
      <c r="U13" s="248" t="e">
        <f>($R$11-T13)</f>
        <v>#N/A</v>
      </c>
      <c r="V13" s="249" t="e">
        <f>U13/$D$12</f>
        <v>#N/A</v>
      </c>
      <c r="AC13" s="221"/>
    </row>
    <row r="14" spans="1:29" s="231" customFormat="1" ht="39.950000000000003" customHeight="1" thickBot="1" x14ac:dyDescent="0.4">
      <c r="L14" s="85"/>
      <c r="M14" s="250" t="s">
        <v>261</v>
      </c>
      <c r="N14" s="250" t="s">
        <v>152</v>
      </c>
      <c r="O14" s="250" t="s">
        <v>262</v>
      </c>
      <c r="P14" s="86"/>
      <c r="T14" s="251" t="s">
        <v>274</v>
      </c>
      <c r="U14" s="252" t="e">
        <f>AVERAGE(U11:U13)</f>
        <v>#N/A</v>
      </c>
      <c r="V14" s="253" t="e">
        <f>AVERAGE(V11:V13)</f>
        <v>#N/A</v>
      </c>
      <c r="AC14" s="209"/>
    </row>
    <row r="15" spans="1:29" ht="39.950000000000003" customHeight="1" thickBot="1" x14ac:dyDescent="0.25">
      <c r="A15" s="214"/>
      <c r="D15" s="214"/>
      <c r="E15" s="214"/>
      <c r="F15" s="214"/>
      <c r="R15" s="214"/>
      <c r="S15" s="214"/>
      <c r="T15" s="254"/>
      <c r="U15" s="248" t="e">
        <f>STDEVA(U11:U13)</f>
        <v>#N/A</v>
      </c>
      <c r="V15" s="255" t="e">
        <f>_xlfn.STDEV.S(V11:V13)</f>
        <v>#N/A</v>
      </c>
      <c r="AC15" s="256"/>
    </row>
    <row r="16" spans="1:29" ht="39.950000000000003" customHeight="1" thickBot="1" x14ac:dyDescent="0.25">
      <c r="A16" s="214"/>
      <c r="T16" s="257"/>
      <c r="U16" s="248" t="e">
        <f>U15/SQRT(3)</f>
        <v>#N/A</v>
      </c>
      <c r="V16" s="258" t="e">
        <f>V15/SQRT(3)</f>
        <v>#N/A</v>
      </c>
      <c r="AC16" s="259"/>
    </row>
    <row r="17" spans="1:29" ht="39.950000000000003" customHeight="1" thickBot="1" x14ac:dyDescent="0.25">
      <c r="A17" s="214"/>
      <c r="B17" s="1852" t="s">
        <v>503</v>
      </c>
      <c r="C17" s="1853"/>
      <c r="D17" s="1853"/>
      <c r="E17" s="1853"/>
      <c r="F17" s="1854"/>
      <c r="G17" s="1810" t="s">
        <v>581</v>
      </c>
      <c r="H17" s="1811"/>
      <c r="I17" s="1811"/>
      <c r="J17" s="1811"/>
      <c r="K17" s="1812"/>
      <c r="T17" s="214"/>
      <c r="U17" s="214"/>
      <c r="V17" s="214"/>
      <c r="AC17" s="260"/>
    </row>
    <row r="18" spans="1:29" ht="39.950000000000003" customHeight="1" thickBot="1" x14ac:dyDescent="0.25">
      <c r="A18" s="214"/>
      <c r="B18" s="261" t="s">
        <v>74</v>
      </c>
      <c r="C18" s="262" t="s">
        <v>159</v>
      </c>
      <c r="D18" s="262" t="s">
        <v>160</v>
      </c>
      <c r="E18" s="262" t="s">
        <v>161</v>
      </c>
      <c r="F18" s="375" t="s">
        <v>162</v>
      </c>
      <c r="G18" s="1131" t="s">
        <v>66</v>
      </c>
      <c r="H18" s="302" t="s">
        <v>48</v>
      </c>
      <c r="I18" s="302" t="s">
        <v>49</v>
      </c>
      <c r="J18" s="302" t="s">
        <v>263</v>
      </c>
      <c r="K18" s="803" t="s">
        <v>75</v>
      </c>
      <c r="L18" s="1144" t="s">
        <v>305</v>
      </c>
      <c r="M18" s="302" t="s">
        <v>153</v>
      </c>
      <c r="N18" s="804" t="s">
        <v>154</v>
      </c>
      <c r="O18" s="263" t="e">
        <f>(O21-O20)/(N21-N20)</f>
        <v>#N/A</v>
      </c>
      <c r="P18" s="231"/>
      <c r="Q18" s="264"/>
      <c r="R18" s="246"/>
      <c r="U18" s="813"/>
      <c r="V18" s="814" t="e">
        <f>AVERAGE(S11:S13)</f>
        <v>#DIV/0!</v>
      </c>
      <c r="AC18" s="260"/>
    </row>
    <row r="19" spans="1:29" s="231" customFormat="1" ht="49.5" customHeight="1" x14ac:dyDescent="0.2">
      <c r="B19" s="265" t="s">
        <v>579</v>
      </c>
      <c r="C19" s="355"/>
      <c r="D19" s="355"/>
      <c r="E19" s="355"/>
      <c r="F19" s="376" t="e">
        <f>AVERAGE(C19:E19)</f>
        <v>#DIV/0!</v>
      </c>
      <c r="G19" s="800" t="s">
        <v>81</v>
      </c>
      <c r="H19" s="1031">
        <v>3.7854100000000002</v>
      </c>
      <c r="I19" s="1031">
        <f>(H19/H21)*1000</f>
        <v>3785.4100000000003</v>
      </c>
      <c r="J19" s="1031">
        <f>(I19*I22)/I20</f>
        <v>230.99994751956731</v>
      </c>
      <c r="K19" s="1032">
        <v>5</v>
      </c>
      <c r="L19" s="801">
        <f>S11</f>
        <v>0</v>
      </c>
      <c r="M19" s="802" t="e">
        <f>($O$21+$O$18*(L19-$N$21))</f>
        <v>#N/A</v>
      </c>
      <c r="N19" s="1019" t="s">
        <v>155</v>
      </c>
      <c r="O19" s="1019" t="s">
        <v>156</v>
      </c>
      <c r="P19" s="794" t="s">
        <v>157</v>
      </c>
      <c r="Q19" s="1846" t="s">
        <v>158</v>
      </c>
      <c r="R19" s="1846"/>
      <c r="S19" s="1847"/>
      <c r="U19" s="815"/>
      <c r="V19" s="816">
        <f>(I13/10)/SQRT(3)</f>
        <v>0.94610735022265502</v>
      </c>
    </row>
    <row r="20" spans="1:29" s="231" customFormat="1" ht="39.950000000000003" customHeight="1" thickBot="1" x14ac:dyDescent="0.25">
      <c r="B20" s="242" t="s">
        <v>163</v>
      </c>
      <c r="C20" s="712"/>
      <c r="D20" s="356"/>
      <c r="E20" s="356"/>
      <c r="F20" s="377" t="e">
        <f>AVERAGE(C20:E20)</f>
        <v>#DIV/0!</v>
      </c>
      <c r="G20" s="266" t="s">
        <v>263</v>
      </c>
      <c r="H20" s="374">
        <v>1.6387059999999998E-2</v>
      </c>
      <c r="I20" s="374">
        <f>(H20/H21)*I21</f>
        <v>16.387059999999998</v>
      </c>
      <c r="J20" s="374">
        <v>1</v>
      </c>
      <c r="K20" s="1033">
        <f>J19*K19</f>
        <v>1154.9997375978367</v>
      </c>
      <c r="L20" s="795">
        <f t="shared" ref="L20:L21" si="0">S12</f>
        <v>0</v>
      </c>
      <c r="M20" s="236" t="e">
        <f>($O$21+$O$18*(L20-$N$21))</f>
        <v>#N/A</v>
      </c>
      <c r="N20" s="793" t="e">
        <f>'RT03-F33'!Q19</f>
        <v>#N/A</v>
      </c>
      <c r="O20" s="793" t="e">
        <f>'RT03-F33'!R19</f>
        <v>#N/A</v>
      </c>
      <c r="P20" s="796" t="e">
        <f>(O20-N20)</f>
        <v>#N/A</v>
      </c>
      <c r="Q20" s="1848"/>
      <c r="R20" s="1848"/>
      <c r="S20" s="1849"/>
      <c r="U20" s="817"/>
      <c r="V20" s="258">
        <f>(I13/10)/SQRT(3)</f>
        <v>0.94610735022265502</v>
      </c>
    </row>
    <row r="21" spans="1:29" s="231" customFormat="1" ht="39.950000000000003" customHeight="1" thickBot="1" x14ac:dyDescent="0.25">
      <c r="B21" s="268" t="s">
        <v>580</v>
      </c>
      <c r="C21" s="269" t="e">
        <f>F19-F20</f>
        <v>#DIV/0!</v>
      </c>
      <c r="D21" s="270"/>
      <c r="E21" s="271"/>
      <c r="F21" s="271"/>
      <c r="G21" s="266" t="s">
        <v>164</v>
      </c>
      <c r="H21" s="374">
        <v>1</v>
      </c>
      <c r="I21" s="374">
        <v>1000</v>
      </c>
      <c r="J21" s="374">
        <f>H20</f>
        <v>1.6387059999999998E-2</v>
      </c>
      <c r="K21" s="1033">
        <f>K19*H19</f>
        <v>18.927050000000001</v>
      </c>
      <c r="L21" s="797">
        <f t="shared" si="0"/>
        <v>0</v>
      </c>
      <c r="M21" s="248" t="e">
        <f>($O$21+$O$18*(L21-$N$21))</f>
        <v>#N/A</v>
      </c>
      <c r="N21" s="798" t="e">
        <f>'RT03-F33'!Q20</f>
        <v>#N/A</v>
      </c>
      <c r="O21" s="798" t="e">
        <f>'RT03-F33'!R20</f>
        <v>#N/A</v>
      </c>
      <c r="P21" s="799" t="e">
        <f>(O21-N21)</f>
        <v>#N/A</v>
      </c>
      <c r="Q21" s="1850" t="e">
        <f>ABS(P21-P20)/12^0.5</f>
        <v>#N/A</v>
      </c>
      <c r="R21" s="1850"/>
      <c r="S21" s="1851"/>
    </row>
    <row r="22" spans="1:29" s="231" customFormat="1" ht="39.950000000000003" customHeight="1" thickBot="1" x14ac:dyDescent="0.25">
      <c r="B22" s="272" t="s">
        <v>264</v>
      </c>
      <c r="C22" s="273" t="e">
        <f>I13*((F19-F20)/((SQRT(12)*F19)))</f>
        <v>#DIV/0!</v>
      </c>
      <c r="D22" s="274"/>
      <c r="E22" s="275"/>
      <c r="F22" s="275"/>
      <c r="G22" s="267" t="s">
        <v>165</v>
      </c>
      <c r="H22" s="1034">
        <v>1E-3</v>
      </c>
      <c r="I22" s="1034">
        <v>1</v>
      </c>
      <c r="J22" s="1034">
        <f>I20</f>
        <v>16.387059999999998</v>
      </c>
      <c r="K22" s="1035">
        <f>K19*I19</f>
        <v>18927.050000000003</v>
      </c>
    </row>
    <row r="23" spans="1:29" s="231" customFormat="1" ht="39.950000000000003" customHeight="1" thickBot="1" x14ac:dyDescent="0.25">
      <c r="B23" s="276"/>
      <c r="D23" s="212"/>
      <c r="E23" s="212"/>
      <c r="F23" s="277"/>
    </row>
    <row r="24" spans="1:29" s="231" customFormat="1" ht="39.950000000000003" customHeight="1" thickBot="1" x14ac:dyDescent="0.25">
      <c r="B24" s="1830" t="s">
        <v>105</v>
      </c>
      <c r="C24" s="1831"/>
      <c r="D24" s="1831"/>
      <c r="E24" s="1831"/>
      <c r="F24" s="1831"/>
      <c r="G24" s="1831"/>
      <c r="H24" s="1831"/>
      <c r="I24" s="1831"/>
      <c r="J24" s="1831"/>
      <c r="K24" s="1831"/>
      <c r="L24" s="1832"/>
    </row>
    <row r="25" spans="1:29" s="210" customFormat="1" ht="39.950000000000003" customHeight="1" x14ac:dyDescent="0.25">
      <c r="A25" s="213"/>
      <c r="B25" s="278"/>
      <c r="C25" s="211"/>
      <c r="D25" s="211"/>
      <c r="E25" s="211"/>
      <c r="F25" s="211"/>
      <c r="G25" s="211"/>
      <c r="H25" s="211"/>
      <c r="I25" s="211"/>
      <c r="J25" s="211"/>
      <c r="K25" s="279" t="s">
        <v>106</v>
      </c>
      <c r="L25" s="280" t="s">
        <v>66</v>
      </c>
    </row>
    <row r="26" spans="1:29" s="211" customFormat="1" ht="39.950000000000003" customHeight="1" x14ac:dyDescent="0.25">
      <c r="B26" s="281" t="s">
        <v>166</v>
      </c>
      <c r="C26" s="282"/>
      <c r="D26" s="282"/>
      <c r="E26" s="282"/>
      <c r="F26" s="282"/>
      <c r="G26" s="283"/>
      <c r="H26" s="283"/>
      <c r="I26" s="283"/>
      <c r="J26" s="284"/>
      <c r="K26" s="285" t="e">
        <f>1/(D12)</f>
        <v>#N/A</v>
      </c>
      <c r="L26" s="286" t="s">
        <v>4</v>
      </c>
    </row>
    <row r="27" spans="1:29" s="210" customFormat="1" ht="5.0999999999999996" customHeight="1" x14ac:dyDescent="0.25">
      <c r="A27" s="211"/>
      <c r="B27" s="287"/>
      <c r="C27" s="288"/>
      <c r="D27" s="288"/>
      <c r="E27" s="288"/>
      <c r="F27" s="288"/>
      <c r="G27" s="211"/>
      <c r="H27" s="211"/>
      <c r="I27" s="211"/>
      <c r="J27" s="211"/>
      <c r="K27" s="289"/>
      <c r="L27" s="290"/>
    </row>
    <row r="28" spans="1:29" s="211" customFormat="1" ht="39.950000000000003" customHeight="1" x14ac:dyDescent="0.25">
      <c r="B28" s="281" t="s">
        <v>167</v>
      </c>
      <c r="C28" s="282"/>
      <c r="D28" s="282"/>
      <c r="E28" s="282"/>
      <c r="F28" s="282"/>
      <c r="G28" s="283"/>
      <c r="H28" s="283"/>
      <c r="I28" s="283"/>
      <c r="J28" s="284"/>
      <c r="K28" s="285" t="e">
        <f>-1/(D12)</f>
        <v>#N/A</v>
      </c>
      <c r="L28" s="286" t="s">
        <v>4</v>
      </c>
    </row>
    <row r="29" spans="1:29" s="210" customFormat="1" ht="5.0999999999999996" customHeight="1" x14ac:dyDescent="0.25">
      <c r="A29" s="211"/>
      <c r="B29" s="287"/>
      <c r="C29" s="288"/>
      <c r="D29" s="288"/>
      <c r="E29" s="288"/>
      <c r="F29" s="288"/>
      <c r="G29" s="211"/>
      <c r="H29" s="211"/>
      <c r="I29" s="211"/>
      <c r="J29" s="211"/>
      <c r="K29" s="289"/>
      <c r="L29" s="291"/>
    </row>
    <row r="30" spans="1:29" s="211" customFormat="1" ht="39.950000000000003" customHeight="1" x14ac:dyDescent="0.25">
      <c r="B30" s="281" t="s">
        <v>167</v>
      </c>
      <c r="C30" s="282"/>
      <c r="D30" s="282"/>
      <c r="E30" s="282"/>
      <c r="F30" s="282"/>
      <c r="G30" s="283"/>
      <c r="H30" s="283"/>
      <c r="I30" s="283"/>
      <c r="J30" s="284"/>
      <c r="K30" s="285" t="e">
        <f>1/(D12)</f>
        <v>#N/A</v>
      </c>
      <c r="L30" s="286" t="s">
        <v>4</v>
      </c>
    </row>
    <row r="31" spans="1:29" s="210" customFormat="1" ht="5.0999999999999996" customHeight="1" x14ac:dyDescent="0.25">
      <c r="A31" s="211"/>
      <c r="B31" s="292"/>
      <c r="C31" s="288"/>
      <c r="D31" s="288"/>
      <c r="E31" s="288"/>
      <c r="F31" s="288"/>
      <c r="G31" s="211"/>
      <c r="H31" s="211"/>
      <c r="I31" s="211"/>
      <c r="J31" s="211"/>
      <c r="K31" s="293"/>
      <c r="L31" s="291"/>
      <c r="M31" s="1141"/>
      <c r="N31" s="211"/>
      <c r="O31" s="211"/>
      <c r="P31" s="211"/>
      <c r="Q31" s="211"/>
      <c r="R31" s="213"/>
    </row>
    <row r="32" spans="1:29" s="211" customFormat="1" ht="39.950000000000003" customHeight="1" x14ac:dyDescent="0.25">
      <c r="B32" s="281" t="s">
        <v>167</v>
      </c>
      <c r="C32" s="282"/>
      <c r="D32" s="282"/>
      <c r="E32" s="282"/>
      <c r="F32" s="282"/>
      <c r="G32" s="283"/>
      <c r="H32" s="283"/>
      <c r="I32" s="283"/>
      <c r="J32" s="284"/>
      <c r="K32" s="285" t="e">
        <f>K30</f>
        <v>#N/A</v>
      </c>
      <c r="L32" s="286" t="s">
        <v>4</v>
      </c>
    </row>
    <row r="33" spans="1:18" s="210" customFormat="1" ht="5.0999999999999996" customHeight="1" x14ac:dyDescent="0.25">
      <c r="A33" s="211"/>
      <c r="B33" s="287"/>
      <c r="C33" s="288"/>
      <c r="D33" s="288"/>
      <c r="E33" s="288"/>
      <c r="F33" s="288"/>
      <c r="G33" s="211"/>
      <c r="H33" s="211"/>
      <c r="I33" s="211"/>
      <c r="J33" s="211"/>
      <c r="K33" s="293"/>
      <c r="L33" s="291"/>
      <c r="M33" s="1141"/>
      <c r="N33" s="211"/>
      <c r="O33" s="211"/>
      <c r="P33" s="211"/>
      <c r="Q33" s="211"/>
      <c r="R33" s="213"/>
    </row>
    <row r="34" spans="1:18" s="211" customFormat="1" ht="39.950000000000003" customHeight="1" x14ac:dyDescent="0.25">
      <c r="B34" s="281" t="s">
        <v>167</v>
      </c>
      <c r="C34" s="282"/>
      <c r="D34" s="282"/>
      <c r="E34" s="282"/>
      <c r="F34" s="282"/>
      <c r="G34" s="283"/>
      <c r="H34" s="283"/>
      <c r="I34" s="283"/>
      <c r="J34" s="284"/>
      <c r="K34" s="285">
        <v>1</v>
      </c>
      <c r="L34" s="286" t="s">
        <v>4</v>
      </c>
    </row>
    <row r="35" spans="1:18" s="210" customFormat="1" ht="5.0999999999999996" customHeight="1" x14ac:dyDescent="0.25">
      <c r="A35" s="211"/>
      <c r="B35" s="278"/>
      <c r="C35" s="211"/>
      <c r="D35" s="211"/>
      <c r="E35" s="211"/>
      <c r="F35" s="211"/>
      <c r="G35" s="211"/>
      <c r="H35" s="211"/>
      <c r="I35" s="211"/>
      <c r="J35" s="211"/>
      <c r="K35" s="294"/>
      <c r="L35" s="295"/>
      <c r="M35" s="1141"/>
      <c r="N35" s="211"/>
      <c r="O35" s="211"/>
      <c r="P35" s="211"/>
      <c r="Q35" s="211"/>
      <c r="R35" s="213"/>
    </row>
    <row r="36" spans="1:18" s="211" customFormat="1" ht="39.950000000000003" customHeight="1" thickBot="1" x14ac:dyDescent="0.3">
      <c r="B36" s="296" t="s">
        <v>167</v>
      </c>
      <c r="C36" s="297"/>
      <c r="D36" s="297"/>
      <c r="E36" s="297"/>
      <c r="F36" s="297"/>
      <c r="G36" s="298"/>
      <c r="H36" s="298"/>
      <c r="I36" s="298"/>
      <c r="J36" s="299"/>
      <c r="K36" s="300">
        <v>1</v>
      </c>
      <c r="L36" s="301" t="s">
        <v>4</v>
      </c>
    </row>
    <row r="37" spans="1:18" s="213" customFormat="1" ht="39.950000000000003" customHeight="1" x14ac:dyDescent="0.25">
      <c r="A37" s="211"/>
      <c r="M37" s="1141"/>
    </row>
    <row r="38" spans="1:18" s="211" customFormat="1" ht="39.950000000000003" customHeight="1" thickBot="1" x14ac:dyDescent="0.3">
      <c r="R38" s="279"/>
    </row>
    <row r="39" spans="1:18" s="210" customFormat="1" ht="39.950000000000003" customHeight="1" thickBot="1" x14ac:dyDescent="0.3">
      <c r="B39" s="1830" t="s">
        <v>111</v>
      </c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1"/>
      <c r="Q39" s="1832"/>
    </row>
    <row r="40" spans="1:18" s="210" customFormat="1" ht="39.950000000000003" customHeight="1" thickBot="1" x14ac:dyDescent="0.3">
      <c r="A40" s="213"/>
      <c r="B40" s="1727" t="s">
        <v>276</v>
      </c>
      <c r="C40" s="1845"/>
      <c r="D40" s="302" t="s">
        <v>277</v>
      </c>
      <c r="E40" s="302" t="s">
        <v>278</v>
      </c>
      <c r="F40" s="302" t="s">
        <v>66</v>
      </c>
      <c r="G40" s="302" t="s">
        <v>114</v>
      </c>
      <c r="H40" s="302" t="s">
        <v>564</v>
      </c>
      <c r="I40" s="302"/>
      <c r="J40" s="302" t="s">
        <v>565</v>
      </c>
      <c r="K40" s="302"/>
      <c r="L40" s="1132" t="s">
        <v>279</v>
      </c>
      <c r="M40" s="302" t="s">
        <v>66</v>
      </c>
      <c r="N40" s="1132" t="s">
        <v>168</v>
      </c>
      <c r="O40" s="302" t="s">
        <v>118</v>
      </c>
      <c r="P40" s="302" t="s">
        <v>280</v>
      </c>
      <c r="Q40" s="303" t="s">
        <v>566</v>
      </c>
    </row>
    <row r="41" spans="1:18" s="211" customFormat="1" ht="39.950000000000003" customHeight="1" thickBot="1" x14ac:dyDescent="0.3">
      <c r="B41" s="304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80"/>
    </row>
    <row r="42" spans="1:18" s="210" customFormat="1" ht="39.950000000000003" customHeight="1" x14ac:dyDescent="0.25">
      <c r="A42" s="1855"/>
      <c r="B42" s="1858" t="s">
        <v>567</v>
      </c>
      <c r="C42" s="1859"/>
      <c r="D42" s="305" t="e">
        <f>U14</f>
        <v>#N/A</v>
      </c>
      <c r="E42" s="306"/>
      <c r="F42" s="307" t="s">
        <v>4</v>
      </c>
      <c r="G42" s="308"/>
      <c r="H42" s="308"/>
      <c r="I42" s="309"/>
      <c r="J42" s="308"/>
      <c r="K42" s="308"/>
      <c r="L42" s="309"/>
      <c r="M42" s="310"/>
      <c r="N42" s="310"/>
      <c r="O42" s="310"/>
      <c r="P42" s="310"/>
      <c r="Q42" s="311"/>
      <c r="R42" s="213"/>
    </row>
    <row r="43" spans="1:18" s="210" customFormat="1" ht="39.950000000000003" customHeight="1" x14ac:dyDescent="0.25">
      <c r="A43" s="1855"/>
      <c r="B43" s="1856" t="s">
        <v>568</v>
      </c>
      <c r="C43" s="1857"/>
      <c r="D43" s="312" t="e">
        <f>R11</f>
        <v>#N/A</v>
      </c>
      <c r="E43" s="313" t="e">
        <f>F8</f>
        <v>#N/A</v>
      </c>
      <c r="F43" s="307" t="s">
        <v>4</v>
      </c>
      <c r="G43" s="314" t="e">
        <f>G8</f>
        <v>#N/A</v>
      </c>
      <c r="H43" s="315" t="e">
        <f>E43/G43</f>
        <v>#N/A</v>
      </c>
      <c r="I43" s="307" t="str">
        <f>F42</f>
        <v>mL</v>
      </c>
      <c r="J43" s="316">
        <v>0.05</v>
      </c>
      <c r="K43" s="307" t="s">
        <v>4</v>
      </c>
      <c r="L43" s="315" t="e">
        <f>J43*H43</f>
        <v>#N/A</v>
      </c>
      <c r="M43" s="307" t="s">
        <v>4</v>
      </c>
      <c r="N43" s="316" t="e">
        <f>L43^2</f>
        <v>#N/A</v>
      </c>
      <c r="O43" s="312" t="s">
        <v>19</v>
      </c>
      <c r="P43" s="312" t="s">
        <v>123</v>
      </c>
      <c r="Q43" s="317">
        <v>50</v>
      </c>
      <c r="R43" s="213"/>
    </row>
    <row r="44" spans="1:18" s="210" customFormat="1" ht="39.950000000000003" customHeight="1" x14ac:dyDescent="0.25">
      <c r="A44" s="1855"/>
      <c r="B44" s="1841" t="s">
        <v>569</v>
      </c>
      <c r="C44" s="1842"/>
      <c r="D44" s="316" t="e">
        <f>V18</f>
        <v>#DIV/0!</v>
      </c>
      <c r="E44" s="313" t="e">
        <f>D8</f>
        <v>#N/A</v>
      </c>
      <c r="F44" s="307" t="s">
        <v>4</v>
      </c>
      <c r="G44" s="312">
        <f>SQRT(3)</f>
        <v>1.7320508075688772</v>
      </c>
      <c r="H44" s="318" t="e">
        <f>SQRT((H43)^2+(Q21)^2)</f>
        <v>#N/A</v>
      </c>
      <c r="I44" s="307" t="str">
        <f>F43</f>
        <v>mL</v>
      </c>
      <c r="J44" s="316" t="e">
        <f>K28</f>
        <v>#N/A</v>
      </c>
      <c r="K44" s="307" t="s">
        <v>4</v>
      </c>
      <c r="L44" s="315" t="e">
        <f t="shared" ref="L44" si="1">J44*H44</f>
        <v>#N/A</v>
      </c>
      <c r="M44" s="307" t="s">
        <v>4</v>
      </c>
      <c r="N44" s="319" t="e">
        <f t="shared" ref="N44:N45" si="2">L44^2</f>
        <v>#N/A</v>
      </c>
      <c r="O44" s="312" t="s">
        <v>19</v>
      </c>
      <c r="P44" s="312" t="s">
        <v>5</v>
      </c>
      <c r="Q44" s="317">
        <v>50</v>
      </c>
      <c r="R44" s="213"/>
    </row>
    <row r="45" spans="1:18" s="210" customFormat="1" ht="39.950000000000003" customHeight="1" x14ac:dyDescent="0.25">
      <c r="A45" s="211"/>
      <c r="B45" s="1841" t="s">
        <v>570</v>
      </c>
      <c r="C45" s="1842"/>
      <c r="D45" s="320"/>
      <c r="E45" s="312">
        <f>I13/10</f>
        <v>1.6387060000000002</v>
      </c>
      <c r="F45" s="307" t="s">
        <v>4</v>
      </c>
      <c r="G45" s="312">
        <f>SQRT(3)</f>
        <v>1.7320508075688772</v>
      </c>
      <c r="H45" s="316">
        <f>E45/G45</f>
        <v>0.94610735022265502</v>
      </c>
      <c r="I45" s="307" t="str">
        <f>F44</f>
        <v>mL</v>
      </c>
      <c r="J45" s="316">
        <f>J43</f>
        <v>0.05</v>
      </c>
      <c r="K45" s="307" t="s">
        <v>4</v>
      </c>
      <c r="L45" s="319">
        <f>J45*H45</f>
        <v>4.7305367511132755E-2</v>
      </c>
      <c r="M45" s="307" t="s">
        <v>4</v>
      </c>
      <c r="N45" s="319">
        <f t="shared" si="2"/>
        <v>2.2377977953633344E-3</v>
      </c>
      <c r="O45" s="312" t="s">
        <v>169</v>
      </c>
      <c r="P45" s="312" t="s">
        <v>5</v>
      </c>
      <c r="Q45" s="317" t="s">
        <v>11</v>
      </c>
      <c r="R45" s="213"/>
    </row>
    <row r="46" spans="1:18" s="211" customFormat="1" ht="39.950000000000003" customHeight="1" x14ac:dyDescent="0.25">
      <c r="B46" s="321"/>
      <c r="C46" s="322"/>
      <c r="D46" s="322"/>
      <c r="E46" s="1141"/>
      <c r="F46" s="323"/>
      <c r="G46" s="1141"/>
      <c r="H46" s="1141"/>
      <c r="I46" s="1141"/>
      <c r="J46" s="324"/>
      <c r="K46" s="1141"/>
      <c r="L46" s="1141"/>
      <c r="M46" s="1141"/>
      <c r="N46" s="1141"/>
      <c r="O46" s="1141"/>
      <c r="P46" s="1141"/>
      <c r="Q46" s="325"/>
    </row>
    <row r="47" spans="1:18" s="210" customFormat="1" ht="39.950000000000003" customHeight="1" x14ac:dyDescent="0.25">
      <c r="A47" s="211"/>
      <c r="B47" s="1841" t="s">
        <v>571</v>
      </c>
      <c r="C47" s="1842"/>
      <c r="D47" s="320"/>
      <c r="E47" s="312">
        <f>I13/10</f>
        <v>1.6387060000000002</v>
      </c>
      <c r="F47" s="307" t="s">
        <v>4</v>
      </c>
      <c r="G47" s="312">
        <f>SQRT(3)</f>
        <v>1.7320508075688772</v>
      </c>
      <c r="H47" s="316">
        <f>E47/G47</f>
        <v>0.94610735022265502</v>
      </c>
      <c r="I47" s="307" t="str">
        <f>$I$45</f>
        <v>mL</v>
      </c>
      <c r="J47" s="326">
        <f>J43</f>
        <v>0.05</v>
      </c>
      <c r="K47" s="307" t="s">
        <v>4</v>
      </c>
      <c r="L47" s="319">
        <f>H47*J47</f>
        <v>4.7305367511132755E-2</v>
      </c>
      <c r="M47" s="307" t="s">
        <v>4</v>
      </c>
      <c r="N47" s="319">
        <f t="shared" ref="N47:N49" si="3">L47^2</f>
        <v>2.2377977953633344E-3</v>
      </c>
      <c r="O47" s="312" t="s">
        <v>169</v>
      </c>
      <c r="P47" s="312" t="s">
        <v>5</v>
      </c>
      <c r="Q47" s="317" t="s">
        <v>11</v>
      </c>
      <c r="R47" s="213"/>
    </row>
    <row r="48" spans="1:18" s="210" customFormat="1" ht="39.950000000000003" customHeight="1" x14ac:dyDescent="0.25">
      <c r="A48" s="211"/>
      <c r="B48" s="1841" t="s">
        <v>170</v>
      </c>
      <c r="C48" s="1842"/>
      <c r="D48" s="320"/>
      <c r="E48" s="316" t="e">
        <f>I13*((C21)/(2*F19))</f>
        <v>#DIV/0!</v>
      </c>
      <c r="F48" s="307" t="s">
        <v>4</v>
      </c>
      <c r="G48" s="312">
        <f>SQRT(12)</f>
        <v>3.4641016151377544</v>
      </c>
      <c r="H48" s="316" t="e">
        <f>E48/G48</f>
        <v>#DIV/0!</v>
      </c>
      <c r="I48" s="307" t="str">
        <f>$I$45</f>
        <v>mL</v>
      </c>
      <c r="J48" s="314">
        <v>1</v>
      </c>
      <c r="K48" s="307" t="s">
        <v>4</v>
      </c>
      <c r="L48" s="319" t="e">
        <f>H48*J48</f>
        <v>#DIV/0!</v>
      </c>
      <c r="M48" s="307" t="s">
        <v>4</v>
      </c>
      <c r="N48" s="319" t="e">
        <f>L48^2</f>
        <v>#DIV/0!</v>
      </c>
      <c r="O48" s="312"/>
      <c r="P48" s="312" t="s">
        <v>5</v>
      </c>
      <c r="Q48" s="317" t="s">
        <v>11</v>
      </c>
      <c r="R48" s="213"/>
    </row>
    <row r="49" spans="1:18" s="210" customFormat="1" ht="39.950000000000003" customHeight="1" thickBot="1" x14ac:dyDescent="0.3">
      <c r="A49" s="211"/>
      <c r="B49" s="1843" t="s">
        <v>572</v>
      </c>
      <c r="C49" s="1844"/>
      <c r="D49" s="327"/>
      <c r="E49" s="328"/>
      <c r="F49" s="329"/>
      <c r="G49" s="328"/>
      <c r="H49" s="330" t="e">
        <f>V16</f>
        <v>#N/A</v>
      </c>
      <c r="I49" s="329" t="str">
        <f>$I$45</f>
        <v>mL</v>
      </c>
      <c r="J49" s="331">
        <v>1</v>
      </c>
      <c r="K49" s="329" t="s">
        <v>4</v>
      </c>
      <c r="L49" s="332" t="e">
        <f>H49*J49</f>
        <v>#N/A</v>
      </c>
      <c r="M49" s="329" t="s">
        <v>4</v>
      </c>
      <c r="N49" s="332" t="e">
        <f t="shared" si="3"/>
        <v>#N/A</v>
      </c>
      <c r="O49" s="328"/>
      <c r="P49" s="328" t="s">
        <v>5</v>
      </c>
      <c r="Q49" s="333">
        <v>2</v>
      </c>
      <c r="R49" s="213"/>
    </row>
    <row r="50" spans="1:18" s="231" customFormat="1" ht="39.950000000000003" customHeight="1" thickBot="1" x14ac:dyDescent="0.25">
      <c r="K50" s="334"/>
      <c r="L50" s="220"/>
      <c r="M50" s="335"/>
      <c r="N50" s="336" t="e">
        <f>SQRT(SUM(N42:N45,N47,N48,N49))</f>
        <v>#N/A</v>
      </c>
      <c r="O50" s="337" t="s">
        <v>4</v>
      </c>
      <c r="P50" s="221"/>
    </row>
    <row r="51" spans="1:18" s="231" customFormat="1" ht="39.950000000000003" customHeight="1" thickBot="1" x14ac:dyDescent="0.25">
      <c r="K51" s="338"/>
      <c r="L51" s="220"/>
      <c r="M51" s="339" t="s">
        <v>140</v>
      </c>
      <c r="N51" s="340" t="e">
        <f>N50*O53</f>
        <v>#N/A</v>
      </c>
      <c r="O51" s="341" t="s">
        <v>4</v>
      </c>
      <c r="P51" s="220"/>
    </row>
    <row r="52" spans="1:18" s="231" customFormat="1" ht="39.950000000000003" customHeight="1" x14ac:dyDescent="0.2">
      <c r="L52" s="279"/>
      <c r="N52" s="342"/>
      <c r="O52" s="343" t="s">
        <v>114</v>
      </c>
      <c r="P52" s="344"/>
    </row>
    <row r="53" spans="1:18" s="231" customFormat="1" ht="39.950000000000003" customHeight="1" thickBot="1" x14ac:dyDescent="0.25">
      <c r="A53" s="345"/>
      <c r="L53" s="346" t="s">
        <v>573</v>
      </c>
      <c r="M53" s="347"/>
      <c r="N53" s="1149" t="e">
        <f>(N50^4)/((L43^4/Q43)+(L44^4/Q44)+(L49^4/Q49))</f>
        <v>#N/A</v>
      </c>
      <c r="O53" s="348" t="e">
        <f>_xlfn.T.INV.2T(0.05,N53)</f>
        <v>#N/A</v>
      </c>
      <c r="P53" s="349" t="e">
        <f>TINV(0.05,N53)</f>
        <v>#N/A</v>
      </c>
    </row>
    <row r="54" spans="1:18" s="231" customFormat="1" ht="39.950000000000003" customHeight="1" thickBot="1" x14ac:dyDescent="0.25">
      <c r="B54" s="1823" t="s">
        <v>141</v>
      </c>
      <c r="C54" s="1824"/>
      <c r="D54" s="1824"/>
      <c r="E54" s="1824"/>
      <c r="F54" s="1824"/>
      <c r="G54" s="1825"/>
      <c r="I54" s="359" t="s">
        <v>398</v>
      </c>
      <c r="O54" s="718"/>
    </row>
    <row r="55" spans="1:18" s="231" customFormat="1" ht="39.950000000000003" customHeight="1" thickBot="1" x14ac:dyDescent="0.25">
      <c r="B55" s="363" t="s">
        <v>74</v>
      </c>
      <c r="C55" s="364" t="s">
        <v>574</v>
      </c>
      <c r="D55" s="364" t="s">
        <v>575</v>
      </c>
      <c r="E55" s="350" t="s">
        <v>114</v>
      </c>
      <c r="F55" s="364" t="s">
        <v>7</v>
      </c>
      <c r="G55" s="351" t="s">
        <v>447</v>
      </c>
      <c r="I55" s="1258"/>
    </row>
    <row r="56" spans="1:18" s="231" customFormat="1" ht="39.950000000000003" customHeight="1" x14ac:dyDescent="0.2">
      <c r="B56" s="365" t="s">
        <v>4</v>
      </c>
      <c r="C56" s="352" t="e">
        <f>V14</f>
        <v>#N/A</v>
      </c>
      <c r="D56" s="706" t="e">
        <f>N50</f>
        <v>#N/A</v>
      </c>
      <c r="E56" s="1816">
        <v>2</v>
      </c>
      <c r="F56" s="709" t="e">
        <f>D56*E56</f>
        <v>#N/A</v>
      </c>
      <c r="G56" s="1813">
        <v>95.45</v>
      </c>
    </row>
    <row r="57" spans="1:18" s="231" customFormat="1" ht="39.950000000000003" customHeight="1" x14ac:dyDescent="0.2">
      <c r="B57" s="365" t="s">
        <v>265</v>
      </c>
      <c r="C57" s="374" t="e">
        <f>C56/J22</f>
        <v>#N/A</v>
      </c>
      <c r="D57" s="707" t="e">
        <f>C57/J22</f>
        <v>#N/A</v>
      </c>
      <c r="E57" s="1817"/>
      <c r="F57" s="710" t="e">
        <f>F56/J22</f>
        <v>#N/A</v>
      </c>
      <c r="G57" s="1814"/>
    </row>
    <row r="58" spans="1:18" s="231" customFormat="1" ht="39.950000000000003" customHeight="1" thickBot="1" x14ac:dyDescent="0.25">
      <c r="B58" s="366" t="s">
        <v>400</v>
      </c>
      <c r="C58" s="373" t="e">
        <f>(C57*100)/K20</f>
        <v>#N/A</v>
      </c>
      <c r="D58" s="708" t="e">
        <f>(D57*100)/1155</f>
        <v>#N/A</v>
      </c>
      <c r="E58" s="1818"/>
      <c r="F58" s="711" t="e">
        <f>(F57*100)/K20</f>
        <v>#N/A</v>
      </c>
      <c r="G58" s="1815"/>
    </row>
    <row r="59" spans="1:18" s="231" customFormat="1" x14ac:dyDescent="0.2"/>
    <row r="60" spans="1:18" s="231" customFormat="1" x14ac:dyDescent="0.2"/>
    <row r="61" spans="1:18" s="231" customFormat="1" x14ac:dyDescent="0.2"/>
  </sheetData>
  <sheetProtection algorithmName="SHA-512" hashValue="foymQbnSEGNgDDDEMmq6EGtsOZ/sOcAGRl15gI8eOwV3kRHwDikP7CX0ynY5EB7fLKib+6DNBTDemidTc8QBKw==" saltValue="9/1wEX5T3PnOKMtd+CBTrg==" spinCount="100000" sheet="1" objects="1" scenarios="1"/>
  <dataConsolidate/>
  <mergeCells count="44">
    <mergeCell ref="A1:B1"/>
    <mergeCell ref="L6:P7"/>
    <mergeCell ref="D3:E3"/>
    <mergeCell ref="G3:H3"/>
    <mergeCell ref="J3:K3"/>
    <mergeCell ref="P3:R3"/>
    <mergeCell ref="Q6:V7"/>
    <mergeCell ref="A6:G6"/>
    <mergeCell ref="H6:I6"/>
    <mergeCell ref="J6:K6"/>
    <mergeCell ref="H7:I7"/>
    <mergeCell ref="D1:V1"/>
    <mergeCell ref="A42:A44"/>
    <mergeCell ref="B45:C45"/>
    <mergeCell ref="B44:C44"/>
    <mergeCell ref="B43:C43"/>
    <mergeCell ref="B42:C42"/>
    <mergeCell ref="T8:T10"/>
    <mergeCell ref="U8:U10"/>
    <mergeCell ref="V8:V10"/>
    <mergeCell ref="B48:C48"/>
    <mergeCell ref="B49:C49"/>
    <mergeCell ref="B39:Q39"/>
    <mergeCell ref="B40:C40"/>
    <mergeCell ref="H8:I8"/>
    <mergeCell ref="R8:R10"/>
    <mergeCell ref="S8:S10"/>
    <mergeCell ref="Q19:S20"/>
    <mergeCell ref="Q21:S21"/>
    <mergeCell ref="B24:L24"/>
    <mergeCell ref="H10:I10"/>
    <mergeCell ref="B17:F17"/>
    <mergeCell ref="B47:C47"/>
    <mergeCell ref="G17:K17"/>
    <mergeCell ref="G56:G58"/>
    <mergeCell ref="E56:E58"/>
    <mergeCell ref="R11:R13"/>
    <mergeCell ref="Q8:Q10"/>
    <mergeCell ref="B54:G54"/>
    <mergeCell ref="B11:C11"/>
    <mergeCell ref="D11:E11"/>
    <mergeCell ref="B10:E10"/>
    <mergeCell ref="J8:K8"/>
    <mergeCell ref="Q11:Q13"/>
  </mergeCells>
  <pageMargins left="0.70866141732283472" right="0.70866141732283472" top="0.74803149606299213" bottom="0.74803149606299213" header="0.31496062992125984" footer="0.31496062992125984"/>
  <pageSetup scale="10" orientation="landscape" horizontalDpi="4294967293" r:id="rId1"/>
  <headerFooter>
    <oddFooter>&amp;RRT03-F11 Vr.6(2019-05-14)</oddFooter>
  </headerFooter>
  <rowBreaks count="1" manualBreakCount="1">
    <brk id="36" max="22" man="1"/>
  </rowBreaks>
  <colBreaks count="1" manualBreakCount="1">
    <brk id="26" max="63" man="1"/>
  </colBreaks>
  <ignoredErrors>
    <ignoredError sqref="Q11:R1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DATOS!$D$7:$D$9</xm:f>
          </x14:formula1>
          <xm:sqref>S3</xm:sqref>
        </x14:dataValidation>
        <x14:dataValidation type="list" allowBlank="1" showInputMessage="1" showErrorMessage="1">
          <x14:formula1>
            <xm:f>DATOS!$P$9:$P$13</xm:f>
          </x14:formula1>
          <xm:sqref>K7</xm:sqref>
        </x14:dataValidation>
        <x14:dataValidation type="list" allowBlank="1" showInputMessage="1" showErrorMessage="1">
          <x14:formula1>
            <xm:f>DATOS!$P$111:$P$114</xm:f>
          </x14:formula1>
          <xm:sqref>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Z162"/>
  <sheetViews>
    <sheetView showGridLines="0" view="pageBreakPreview" zoomScale="115" zoomScaleNormal="100" zoomScaleSheetLayoutView="115" workbookViewId="0">
      <selection activeCell="E17" sqref="E17:H17"/>
    </sheetView>
  </sheetViews>
  <sheetFormatPr baseColWidth="10" defaultRowHeight="15.75" x14ac:dyDescent="0.25"/>
  <cols>
    <col min="1" max="1" width="6.28515625" style="400" customWidth="1"/>
    <col min="2" max="2" width="7.85546875" style="400" customWidth="1"/>
    <col min="3" max="3" width="7.42578125" style="400" customWidth="1"/>
    <col min="4" max="4" width="11" style="400" customWidth="1"/>
    <col min="5" max="5" width="10.7109375" style="400" customWidth="1"/>
    <col min="6" max="6" width="12.7109375" style="400" customWidth="1"/>
    <col min="7" max="7" width="9.7109375" style="400" customWidth="1"/>
    <col min="8" max="8" width="14.7109375" style="400" customWidth="1"/>
    <col min="9" max="9" width="8.42578125" style="400" customWidth="1"/>
    <col min="10" max="10" width="7.28515625" style="400" customWidth="1"/>
    <col min="11" max="11" width="9.42578125" style="400" customWidth="1"/>
    <col min="12" max="12" width="3.28515625" style="400" customWidth="1"/>
    <col min="13" max="13" width="8.28515625" style="400" customWidth="1"/>
    <col min="14" max="14" width="10.140625" style="400" customWidth="1"/>
    <col min="15" max="15" width="8" style="400" customWidth="1"/>
    <col min="16" max="16" width="13.85546875" style="400" customWidth="1"/>
    <col min="17" max="17" width="0.5703125" style="400" customWidth="1"/>
    <col min="18" max="18" width="1.7109375" style="400" customWidth="1"/>
    <col min="19" max="16384" width="11.42578125" style="400"/>
  </cols>
  <sheetData>
    <row r="1" spans="1:11" ht="20.100000000000001" customHeight="1" x14ac:dyDescent="0.25">
      <c r="A1" s="1918"/>
      <c r="B1" s="1918"/>
      <c r="C1" s="1918"/>
      <c r="D1" s="1918"/>
      <c r="E1" s="1918"/>
      <c r="F1" s="1918"/>
      <c r="G1" s="1918"/>
      <c r="H1" s="1918"/>
      <c r="I1" s="1918"/>
      <c r="J1" s="1918"/>
      <c r="K1" s="1918"/>
    </row>
    <row r="2" spans="1:11" ht="20.100000000000001" customHeight="1" x14ac:dyDescent="0.25">
      <c r="A2" s="1918"/>
      <c r="B2" s="1918"/>
      <c r="C2" s="1918"/>
      <c r="D2" s="1918"/>
      <c r="E2" s="1918"/>
      <c r="F2" s="1918"/>
      <c r="G2" s="1918"/>
      <c r="H2" s="1918"/>
      <c r="I2" s="1918"/>
      <c r="J2" s="1918"/>
      <c r="K2" s="1918"/>
    </row>
    <row r="3" spans="1:11" ht="20.100000000000001" customHeight="1" x14ac:dyDescent="0.25">
      <c r="A3" s="1918"/>
      <c r="B3" s="1918"/>
      <c r="C3" s="1918"/>
      <c r="D3" s="1918"/>
      <c r="E3" s="1918"/>
      <c r="F3" s="1918"/>
      <c r="G3" s="1918"/>
      <c r="H3" s="1918"/>
      <c r="I3" s="1918"/>
      <c r="J3" s="1918"/>
      <c r="K3" s="1918"/>
    </row>
    <row r="4" spans="1:11" ht="20.100000000000001" customHeight="1" x14ac:dyDescent="0.25">
      <c r="A4" s="1918"/>
      <c r="B4" s="1918"/>
      <c r="C4" s="1918"/>
      <c r="D4" s="1918"/>
      <c r="E4" s="1918"/>
      <c r="F4" s="1918"/>
      <c r="G4" s="1918"/>
      <c r="H4" s="1918"/>
      <c r="I4" s="1918"/>
      <c r="J4" s="1918"/>
      <c r="K4" s="1918"/>
    </row>
    <row r="5" spans="1:11" ht="20.100000000000001" customHeight="1" x14ac:dyDescent="0.25">
      <c r="A5" s="1918"/>
      <c r="B5" s="1918"/>
      <c r="C5" s="1918"/>
      <c r="D5" s="1918"/>
      <c r="E5" s="1918"/>
      <c r="F5" s="1918"/>
      <c r="G5" s="1918"/>
      <c r="H5" s="1918"/>
      <c r="I5" s="1918"/>
      <c r="J5" s="1918"/>
      <c r="K5" s="1918"/>
    </row>
    <row r="6" spans="1:11" ht="20.100000000000001" customHeight="1" x14ac:dyDescent="0.25">
      <c r="A6" s="1284"/>
      <c r="B6" s="1284"/>
      <c r="C6" s="1284"/>
      <c r="D6" s="1284"/>
      <c r="E6" s="1284"/>
      <c r="G6" s="1878" t="s">
        <v>605</v>
      </c>
      <c r="H6" s="1878"/>
      <c r="I6" s="1878"/>
      <c r="J6" s="1877">
        <f>DATOS!N15</f>
        <v>0</v>
      </c>
      <c r="K6" s="1877"/>
    </row>
    <row r="7" spans="1:11" ht="18" customHeight="1" x14ac:dyDescent="0.25">
      <c r="A7" s="1919" t="s">
        <v>50</v>
      </c>
      <c r="B7" s="1919"/>
      <c r="C7" s="1919"/>
      <c r="D7" s="1919"/>
      <c r="E7" s="1159"/>
      <c r="F7" s="518"/>
    </row>
    <row r="8" spans="1:11" ht="18" customHeight="1" x14ac:dyDescent="0.25">
      <c r="A8" s="1160"/>
      <c r="B8" s="1160"/>
      <c r="C8" s="1160"/>
      <c r="D8" s="518"/>
      <c r="E8" s="518"/>
      <c r="F8" s="518"/>
    </row>
    <row r="9" spans="1:11" ht="18" customHeight="1" x14ac:dyDescent="0.25">
      <c r="A9" s="1890" t="s">
        <v>51</v>
      </c>
      <c r="B9" s="1890"/>
      <c r="C9" s="1285"/>
      <c r="D9" s="1882">
        <f>DATOS!K8</f>
        <v>0</v>
      </c>
      <c r="E9" s="1882"/>
      <c r="F9" s="1882"/>
      <c r="G9" s="1161"/>
      <c r="H9" s="1162"/>
    </row>
    <row r="10" spans="1:11" ht="18" customHeight="1" x14ac:dyDescent="0.25">
      <c r="A10" s="1890" t="s">
        <v>38</v>
      </c>
      <c r="B10" s="1890"/>
      <c r="C10" s="1285"/>
      <c r="D10" s="1882">
        <f>DATOS!L8</f>
        <v>0</v>
      </c>
      <c r="E10" s="1882"/>
      <c r="F10" s="1882"/>
      <c r="G10" s="1161"/>
      <c r="H10" s="1162"/>
      <c r="I10" s="1162"/>
      <c r="J10" s="1162"/>
    </row>
    <row r="11" spans="1:11" ht="18" customHeight="1" x14ac:dyDescent="0.25">
      <c r="A11" s="1890" t="s">
        <v>52</v>
      </c>
      <c r="B11" s="1890"/>
      <c r="C11" s="1285"/>
      <c r="D11" s="1882">
        <f>DATOS!M8</f>
        <v>0</v>
      </c>
      <c r="E11" s="1882"/>
      <c r="F11" s="1882"/>
      <c r="G11" s="1882"/>
    </row>
    <row r="12" spans="1:11" ht="18" customHeight="1" x14ac:dyDescent="0.25">
      <c r="A12" s="1286"/>
      <c r="B12" s="1286"/>
      <c r="C12" s="1160"/>
      <c r="D12" s="518"/>
      <c r="E12" s="518"/>
      <c r="F12" s="518"/>
      <c r="G12" s="518"/>
    </row>
    <row r="13" spans="1:11" ht="18" customHeight="1" x14ac:dyDescent="0.25">
      <c r="A13" s="1887" t="s">
        <v>606</v>
      </c>
      <c r="B13" s="1887"/>
      <c r="C13" s="1887"/>
      <c r="D13" s="1922" t="e">
        <f>'RT03-F33'!D3</f>
        <v>#N/A</v>
      </c>
      <c r="E13" s="1922"/>
      <c r="F13" s="1964" t="s">
        <v>590</v>
      </c>
      <c r="G13" s="1964"/>
      <c r="H13" s="1964"/>
      <c r="I13" s="1963">
        <f>DATOS!I8</f>
        <v>0</v>
      </c>
      <c r="J13" s="1963"/>
      <c r="K13" s="1963"/>
    </row>
    <row r="14" spans="1:11" ht="18" customHeight="1" x14ac:dyDescent="0.25">
      <c r="A14" s="1921"/>
      <c r="B14" s="1921"/>
      <c r="C14" s="1163"/>
      <c r="D14" s="1921"/>
      <c r="E14" s="1921"/>
      <c r="F14" s="1921"/>
      <c r="I14" s="1164"/>
      <c r="J14" s="1164"/>
      <c r="K14" s="1164"/>
    </row>
    <row r="15" spans="1:11" ht="18" customHeight="1" x14ac:dyDescent="0.25">
      <c r="A15" s="1919" t="s">
        <v>607</v>
      </c>
      <c r="B15" s="1919"/>
      <c r="C15" s="1919"/>
      <c r="D15" s="1919"/>
      <c r="E15" s="1919"/>
      <c r="F15" s="1919"/>
      <c r="G15" s="1919"/>
      <c r="H15" s="1919"/>
      <c r="I15" s="1919"/>
      <c r="J15" s="1919"/>
      <c r="K15" s="1164"/>
    </row>
    <row r="16" spans="1:11" ht="18" customHeight="1" x14ac:dyDescent="0.25">
      <c r="A16" s="1285"/>
      <c r="B16" s="1285"/>
      <c r="C16" s="1285"/>
      <c r="D16" s="1285"/>
      <c r="E16" s="1285"/>
      <c r="F16" s="1165"/>
      <c r="G16" s="393"/>
      <c r="H16" s="393"/>
      <c r="I16" s="390"/>
      <c r="J16" s="390"/>
      <c r="K16" s="1164"/>
    </row>
    <row r="17" spans="1:26" ht="18" customHeight="1" x14ac:dyDescent="0.25">
      <c r="A17" s="1890" t="s">
        <v>27</v>
      </c>
      <c r="B17" s="1890"/>
      <c r="C17" s="1890"/>
      <c r="D17" s="1890"/>
      <c r="E17" s="1923"/>
      <c r="F17" s="1923"/>
      <c r="G17" s="1923"/>
      <c r="H17" s="1923"/>
      <c r="I17" s="390"/>
      <c r="J17" s="390"/>
      <c r="K17" s="1164"/>
    </row>
    <row r="18" spans="1:26" ht="18" customHeight="1" x14ac:dyDescent="0.25">
      <c r="A18" s="1890" t="s">
        <v>522</v>
      </c>
      <c r="B18" s="1890"/>
      <c r="C18" s="1890"/>
      <c r="D18" s="1890"/>
      <c r="E18" s="1882">
        <f>DATOS!C15</f>
        <v>0</v>
      </c>
      <c r="F18" s="1882"/>
      <c r="G18" s="1882"/>
      <c r="H18" s="1882"/>
      <c r="I18" s="1277"/>
      <c r="J18" s="390"/>
      <c r="K18" s="1164"/>
    </row>
    <row r="19" spans="1:26" ht="18" customHeight="1" x14ac:dyDescent="0.25">
      <c r="A19" s="1890" t="s">
        <v>521</v>
      </c>
      <c r="B19" s="1890"/>
      <c r="C19" s="1890"/>
      <c r="D19" s="1890"/>
      <c r="E19" s="1882">
        <f>DATOS!E15</f>
        <v>0</v>
      </c>
      <c r="F19" s="1882"/>
      <c r="G19" s="1882"/>
      <c r="H19" s="1882"/>
      <c r="I19" s="1277"/>
      <c r="J19" s="390"/>
      <c r="K19" s="1164"/>
    </row>
    <row r="20" spans="1:26" ht="18" customHeight="1" x14ac:dyDescent="0.25">
      <c r="A20" s="1887" t="s">
        <v>480</v>
      </c>
      <c r="B20" s="1887"/>
      <c r="C20" s="1887"/>
      <c r="D20" s="1887"/>
      <c r="E20" s="1882">
        <f>DATOS!D15</f>
        <v>0</v>
      </c>
      <c r="F20" s="1882"/>
      <c r="G20" s="1882"/>
      <c r="H20" s="1882"/>
      <c r="I20" s="1277"/>
      <c r="J20" s="390"/>
      <c r="K20" s="1164"/>
    </row>
    <row r="21" spans="1:26" ht="18" customHeight="1" x14ac:dyDescent="0.25">
      <c r="A21" s="1887" t="s">
        <v>41</v>
      </c>
      <c r="B21" s="1887"/>
      <c r="C21" s="1887"/>
      <c r="D21" s="1887"/>
      <c r="E21" s="1881" t="s">
        <v>582</v>
      </c>
      <c r="F21" s="1881"/>
      <c r="G21" s="1881"/>
      <c r="H21" s="1881"/>
      <c r="I21" s="1277"/>
      <c r="J21" s="390"/>
      <c r="K21" s="1164"/>
    </row>
    <row r="22" spans="1:26" ht="18" customHeight="1" x14ac:dyDescent="0.25">
      <c r="A22" s="1887" t="s">
        <v>523</v>
      </c>
      <c r="B22" s="1887"/>
      <c r="C22" s="1887"/>
      <c r="D22" s="1887"/>
      <c r="E22" s="1881" t="s">
        <v>504</v>
      </c>
      <c r="F22" s="1881"/>
      <c r="G22" s="1881"/>
      <c r="H22" s="1881"/>
      <c r="I22" s="1277"/>
      <c r="J22" s="393"/>
    </row>
    <row r="23" spans="1:26" ht="18" customHeight="1" x14ac:dyDescent="0.25">
      <c r="A23" s="1887" t="s">
        <v>524</v>
      </c>
      <c r="B23" s="1887"/>
      <c r="C23" s="1887"/>
      <c r="D23" s="1887"/>
      <c r="E23" s="1881" t="s">
        <v>504</v>
      </c>
      <c r="F23" s="1881"/>
      <c r="G23" s="1881"/>
      <c r="H23" s="1881"/>
      <c r="I23" s="1277"/>
      <c r="J23" s="393"/>
    </row>
    <row r="24" spans="1:26" ht="18" customHeight="1" x14ac:dyDescent="0.25">
      <c r="A24" s="1887" t="s">
        <v>520</v>
      </c>
      <c r="B24" s="1887"/>
      <c r="C24" s="1887"/>
      <c r="D24" s="1887"/>
      <c r="E24" s="1277">
        <f>DATOS!G15</f>
        <v>0</v>
      </c>
      <c r="F24" s="1277" t="s">
        <v>9</v>
      </c>
      <c r="G24" s="1277"/>
      <c r="H24" s="1277"/>
      <c r="I24" s="1277"/>
      <c r="J24" s="393"/>
      <c r="T24" s="1921"/>
      <c r="U24" s="1921"/>
      <c r="V24" s="1921"/>
      <c r="W24" s="1921"/>
      <c r="X24" s="1921"/>
    </row>
    <row r="25" spans="1:26" ht="18" customHeight="1" x14ac:dyDescent="0.25">
      <c r="A25" s="1887" t="s">
        <v>286</v>
      </c>
      <c r="B25" s="1887"/>
      <c r="C25" s="1887"/>
      <c r="D25" s="1887"/>
      <c r="E25" s="1166" t="e">
        <f>DATOS!H15</f>
        <v>#N/A</v>
      </c>
      <c r="F25" s="1161" t="s">
        <v>9</v>
      </c>
      <c r="G25" s="1161"/>
      <c r="H25" s="1161"/>
      <c r="I25" s="1277"/>
      <c r="J25" s="393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</row>
    <row r="26" spans="1:26" ht="18" customHeight="1" x14ac:dyDescent="0.25">
      <c r="A26" s="1887" t="s">
        <v>479</v>
      </c>
      <c r="B26" s="1887"/>
      <c r="C26" s="1887"/>
      <c r="D26" s="1887"/>
      <c r="E26" s="1881" t="s">
        <v>525</v>
      </c>
      <c r="F26" s="1881"/>
      <c r="G26" s="1881"/>
      <c r="H26" s="1881"/>
      <c r="I26" s="1277"/>
      <c r="J26" s="1168"/>
      <c r="T26" s="1942"/>
      <c r="U26" s="1943"/>
      <c r="V26" s="1943"/>
      <c r="X26" s="1921"/>
      <c r="Y26" s="1921"/>
      <c r="Z26" s="1921"/>
    </row>
    <row r="27" spans="1:26" ht="18" customHeight="1" x14ac:dyDescent="0.25">
      <c r="A27" s="1921"/>
      <c r="B27" s="1921"/>
      <c r="C27" s="1921"/>
      <c r="D27" s="1921"/>
      <c r="E27" s="1883"/>
      <c r="F27" s="1883"/>
      <c r="G27" s="1883"/>
      <c r="H27" s="1883"/>
      <c r="I27" s="1278"/>
    </row>
    <row r="28" spans="1:26" ht="18" customHeight="1" x14ac:dyDescent="0.25">
      <c r="A28" s="1919" t="s">
        <v>608</v>
      </c>
      <c r="B28" s="1919"/>
      <c r="C28" s="1919"/>
      <c r="D28" s="1919"/>
      <c r="E28" s="1919"/>
      <c r="F28" s="1919"/>
      <c r="G28" s="1919"/>
      <c r="H28" s="1919"/>
      <c r="I28" s="1919"/>
      <c r="J28" s="1919"/>
      <c r="K28" s="1919"/>
    </row>
    <row r="29" spans="1:26" ht="18" customHeight="1" x14ac:dyDescent="0.25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</row>
    <row r="30" spans="1:26" ht="18" customHeight="1" x14ac:dyDescent="0.25">
      <c r="A30" s="1944" t="str">
        <f>DATOS!G8</f>
        <v>Laboratorios de calibración de masa y volumen de la SIC</v>
      </c>
      <c r="B30" s="1944"/>
      <c r="C30" s="1944"/>
      <c r="D30" s="1944"/>
      <c r="E30" s="1944"/>
      <c r="F30" s="1944"/>
      <c r="G30" s="1944"/>
      <c r="H30" s="1944"/>
      <c r="I30" s="1944"/>
      <c r="J30" s="1944"/>
      <c r="K30" s="1944"/>
    </row>
    <row r="31" spans="1:26" ht="18" customHeight="1" x14ac:dyDescent="0.25">
      <c r="A31" s="1944" t="str">
        <f>DATOS!H8</f>
        <v>Carrera 50 # 26-55 piso 5</v>
      </c>
      <c r="B31" s="1944"/>
      <c r="C31" s="1944"/>
      <c r="D31" s="1944"/>
      <c r="E31" s="1944"/>
      <c r="F31" s="1944"/>
      <c r="G31" s="1944"/>
      <c r="H31" s="1944"/>
      <c r="I31" s="1944"/>
      <c r="J31" s="1944"/>
      <c r="K31" s="1944"/>
    </row>
    <row r="32" spans="1:26" ht="18" customHeight="1" x14ac:dyDescent="0.25">
      <c r="G32" s="1160"/>
      <c r="H32" s="1160"/>
      <c r="I32" s="1160"/>
      <c r="J32" s="1160"/>
    </row>
    <row r="33" spans="1:11" ht="18" customHeight="1" x14ac:dyDescent="0.25">
      <c r="A33" s="1919" t="s">
        <v>452</v>
      </c>
      <c r="B33" s="1919"/>
      <c r="C33" s="1919"/>
      <c r="D33" s="1919"/>
      <c r="E33" s="1920">
        <f>DATOS!J8</f>
        <v>0</v>
      </c>
      <c r="F33" s="1920"/>
      <c r="G33" s="1161"/>
      <c r="H33" s="393"/>
      <c r="I33" s="393"/>
      <c r="J33" s="393"/>
      <c r="K33" s="393"/>
    </row>
    <row r="34" spans="1:11" ht="18" customHeight="1" x14ac:dyDescent="0.25">
      <c r="A34" s="393"/>
      <c r="B34" s="393"/>
      <c r="C34" s="393"/>
      <c r="D34" s="393"/>
      <c r="E34" s="393"/>
      <c r="F34" s="1169"/>
      <c r="G34" s="1169"/>
      <c r="H34" s="393"/>
      <c r="I34" s="393"/>
      <c r="J34" s="393"/>
      <c r="K34" s="393"/>
    </row>
    <row r="35" spans="1:11" ht="18" customHeight="1" x14ac:dyDescent="0.25">
      <c r="A35" s="1925" t="s">
        <v>609</v>
      </c>
      <c r="B35" s="1925"/>
      <c r="C35" s="1925"/>
      <c r="D35" s="1925"/>
      <c r="E35" s="1925"/>
      <c r="F35" s="1925"/>
      <c r="G35" s="1925"/>
      <c r="H35" s="1925"/>
      <c r="I35" s="1283"/>
      <c r="J35" s="1170"/>
      <c r="K35" s="393"/>
    </row>
    <row r="36" spans="1:11" ht="18" customHeight="1" x14ac:dyDescent="0.25">
      <c r="A36" s="1277"/>
      <c r="B36" s="1277"/>
      <c r="C36" s="1277"/>
      <c r="D36" s="1277"/>
      <c r="E36" s="1277"/>
      <c r="F36" s="1277"/>
      <c r="G36" s="1277"/>
      <c r="H36" s="1277"/>
      <c r="I36" s="1277"/>
      <c r="J36" s="393"/>
      <c r="K36" s="393"/>
    </row>
    <row r="37" spans="1:11" ht="18" customHeight="1" x14ac:dyDescent="0.25">
      <c r="A37" s="1904" t="s">
        <v>526</v>
      </c>
      <c r="B37" s="1904"/>
      <c r="C37" s="1904"/>
      <c r="D37" s="1904"/>
      <c r="E37" s="1904"/>
      <c r="F37" s="1904"/>
      <c r="G37" s="1904"/>
      <c r="H37" s="1904"/>
      <c r="I37" s="1904"/>
      <c r="J37" s="1904"/>
      <c r="K37" s="1904"/>
    </row>
    <row r="38" spans="1:11" ht="18" customHeight="1" x14ac:dyDescent="0.25">
      <c r="A38" s="1904"/>
      <c r="B38" s="1904"/>
      <c r="C38" s="1904"/>
      <c r="D38" s="1904"/>
      <c r="E38" s="1904"/>
      <c r="F38" s="1904"/>
      <c r="G38" s="1904"/>
      <c r="H38" s="1904"/>
      <c r="I38" s="1904"/>
      <c r="J38" s="1904"/>
      <c r="K38" s="1904"/>
    </row>
    <row r="39" spans="1:11" ht="18" customHeight="1" x14ac:dyDescent="0.25">
      <c r="A39" s="1288"/>
      <c r="B39" s="1288"/>
      <c r="C39" s="1288"/>
      <c r="D39" s="1288"/>
      <c r="E39" s="1288"/>
      <c r="F39" s="1288"/>
      <c r="G39" s="1288"/>
      <c r="H39" s="1288"/>
      <c r="I39" s="1288"/>
      <c r="J39" s="1288"/>
      <c r="K39" s="1288"/>
    </row>
    <row r="40" spans="1:11" ht="18" customHeight="1" x14ac:dyDescent="0.25">
      <c r="A40" s="1288"/>
      <c r="B40" s="1288"/>
      <c r="C40" s="1288"/>
      <c r="D40" s="1288"/>
      <c r="E40" s="1288"/>
      <c r="F40" s="1288"/>
      <c r="G40" s="1288"/>
      <c r="H40" s="1288"/>
      <c r="I40" s="1288"/>
      <c r="J40" s="1288"/>
      <c r="K40" s="1288"/>
    </row>
    <row r="41" spans="1:11" ht="18" customHeight="1" x14ac:dyDescent="0.25">
      <c r="A41" s="1288"/>
      <c r="B41" s="1288"/>
      <c r="C41" s="1288"/>
      <c r="D41" s="1288"/>
      <c r="E41" s="1288"/>
      <c r="F41" s="1288"/>
      <c r="G41" s="1288"/>
      <c r="H41" s="1288"/>
      <c r="I41" s="1288"/>
      <c r="J41" s="1288"/>
      <c r="K41" s="1288"/>
    </row>
    <row r="42" spans="1:11" ht="18" customHeight="1" x14ac:dyDescent="0.25">
      <c r="A42" s="1288"/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</row>
    <row r="43" spans="1:11" ht="18" customHeight="1" x14ac:dyDescent="0.25">
      <c r="A43" s="1288"/>
      <c r="B43" s="1288"/>
      <c r="C43" s="1288"/>
      <c r="D43" s="1288"/>
      <c r="E43" s="1288"/>
      <c r="F43" s="1288"/>
      <c r="G43" s="1288"/>
      <c r="H43" s="1288"/>
      <c r="I43" s="1288"/>
      <c r="J43" s="1288"/>
      <c r="K43" s="1288"/>
    </row>
    <row r="44" spans="1:11" ht="120" customHeight="1" x14ac:dyDescent="0.25">
      <c r="A44" s="1171"/>
      <c r="B44" s="1171"/>
      <c r="C44" s="1171"/>
      <c r="D44" s="1171"/>
      <c r="E44" s="1171"/>
      <c r="F44" s="1171"/>
      <c r="G44" s="1171"/>
      <c r="H44" s="1171"/>
      <c r="I44" s="1171"/>
      <c r="J44" s="1171"/>
    </row>
    <row r="45" spans="1:11" ht="18" customHeight="1" x14ac:dyDescent="0.25">
      <c r="A45" s="1171"/>
      <c r="B45" s="1171"/>
      <c r="C45" s="1171"/>
      <c r="D45" s="1171"/>
      <c r="E45" s="1171"/>
      <c r="F45" s="1171"/>
      <c r="G45" s="1879" t="s">
        <v>605</v>
      </c>
      <c r="H45" s="1879"/>
      <c r="I45" s="1879"/>
      <c r="J45" s="1877">
        <f>J6</f>
        <v>0</v>
      </c>
      <c r="K45" s="1877"/>
    </row>
    <row r="46" spans="1:11" s="1174" customFormat="1" ht="16.5" customHeight="1" x14ac:dyDescent="0.2">
      <c r="A46" s="1924" t="s">
        <v>46</v>
      </c>
      <c r="B46" s="1924"/>
      <c r="C46" s="1172"/>
      <c r="D46" s="1172"/>
      <c r="E46" s="1172"/>
      <c r="F46" s="1172"/>
      <c r="G46" s="1172"/>
      <c r="H46" s="1172"/>
      <c r="I46" s="1172"/>
      <c r="J46" s="1173"/>
    </row>
    <row r="47" spans="1:11" s="1174" customFormat="1" ht="16.5" customHeight="1" x14ac:dyDescent="0.2">
      <c r="A47" s="1175"/>
      <c r="B47" s="1172"/>
      <c r="C47" s="1172"/>
      <c r="D47" s="1172"/>
      <c r="E47" s="1172"/>
      <c r="F47" s="1172"/>
      <c r="G47" s="1172"/>
      <c r="H47" s="1172"/>
      <c r="I47" s="1172"/>
      <c r="J47" s="1173"/>
    </row>
    <row r="48" spans="1:11" s="1174" customFormat="1" ht="18" customHeight="1" x14ac:dyDescent="0.2">
      <c r="A48" s="1172"/>
      <c r="B48" s="1176"/>
      <c r="C48" s="1911" t="s">
        <v>45</v>
      </c>
      <c r="D48" s="1911"/>
      <c r="E48" s="1911"/>
      <c r="F48" s="1911"/>
      <c r="G48" s="1911"/>
      <c r="H48" s="1911"/>
      <c r="I48" s="1911"/>
      <c r="J48" s="1911"/>
      <c r="K48" s="1911"/>
    </row>
    <row r="49" spans="1:11" s="1174" customFormat="1" ht="12" customHeight="1" x14ac:dyDescent="0.25">
      <c r="A49" s="1177"/>
      <c r="B49" s="1177"/>
      <c r="C49" s="1178"/>
      <c r="D49" s="1178"/>
      <c r="E49" s="1178"/>
      <c r="F49" s="1178"/>
      <c r="G49" s="1162"/>
      <c r="H49" s="1346"/>
      <c r="I49" s="1287"/>
      <c r="J49" s="1287"/>
      <c r="K49" s="1162"/>
    </row>
    <row r="50" spans="1:11" s="1174" customFormat="1" ht="18" customHeight="1" x14ac:dyDescent="0.2">
      <c r="A50" s="1172"/>
      <c r="B50" s="1179"/>
      <c r="C50" s="1905" t="s">
        <v>450</v>
      </c>
      <c r="D50" s="1905"/>
      <c r="E50" s="1905"/>
      <c r="F50" s="1905"/>
      <c r="G50" s="1905"/>
      <c r="H50" s="1905"/>
      <c r="I50" s="1905"/>
      <c r="J50" s="1905"/>
      <c r="K50" s="1905"/>
    </row>
    <row r="51" spans="1:11" s="1174" customFormat="1" ht="18" customHeight="1" x14ac:dyDescent="0.2">
      <c r="A51" s="1172"/>
      <c r="B51" s="1179"/>
      <c r="C51" s="1905"/>
      <c r="D51" s="1905"/>
      <c r="E51" s="1905"/>
      <c r="F51" s="1905"/>
      <c r="G51" s="1905"/>
      <c r="H51" s="1905"/>
      <c r="I51" s="1905"/>
      <c r="J51" s="1905"/>
      <c r="K51" s="1905"/>
    </row>
    <row r="52" spans="1:11" s="1174" customFormat="1" ht="15.95" customHeight="1" x14ac:dyDescent="0.2">
      <c r="A52" s="1172"/>
      <c r="B52" s="1179"/>
      <c r="C52" s="1280"/>
      <c r="D52" s="1280"/>
      <c r="E52" s="1280"/>
      <c r="F52" s="1280"/>
      <c r="G52" s="1280"/>
      <c r="H52" s="1280"/>
      <c r="I52" s="1280"/>
      <c r="J52" s="1280"/>
      <c r="K52" s="393"/>
    </row>
    <row r="53" spans="1:11" s="1174" customFormat="1" ht="18" customHeight="1" x14ac:dyDescent="0.2">
      <c r="A53" s="1172"/>
      <c r="B53" s="1172"/>
      <c r="C53" s="1946" t="s">
        <v>53</v>
      </c>
      <c r="D53" s="1946"/>
      <c r="E53" s="1946"/>
      <c r="F53" s="1946"/>
      <c r="G53" s="1946"/>
      <c r="H53" s="1946"/>
      <c r="I53" s="1946"/>
      <c r="J53" s="1946"/>
      <c r="K53" s="1946"/>
    </row>
    <row r="54" spans="1:11" s="1174" customFormat="1" ht="15.95" customHeight="1" x14ac:dyDescent="0.2">
      <c r="A54" s="1172"/>
      <c r="B54" s="1172"/>
      <c r="C54" s="1288"/>
      <c r="D54" s="1288"/>
      <c r="E54" s="1288"/>
      <c r="F54" s="1288"/>
      <c r="G54" s="1288"/>
      <c r="H54" s="1288"/>
      <c r="I54" s="1288"/>
      <c r="J54" s="1288"/>
      <c r="K54" s="393"/>
    </row>
    <row r="55" spans="1:11" s="1174" customFormat="1" ht="18" customHeight="1" x14ac:dyDescent="0.2">
      <c r="A55" s="1172"/>
      <c r="B55" s="1172"/>
      <c r="C55" s="1945" t="s">
        <v>451</v>
      </c>
      <c r="D55" s="1945"/>
      <c r="E55" s="1945"/>
      <c r="F55" s="1945"/>
      <c r="G55" s="1945"/>
      <c r="H55" s="1945"/>
      <c r="I55" s="1945"/>
      <c r="J55" s="1945"/>
      <c r="K55" s="1945"/>
    </row>
    <row r="56" spans="1:11" s="1174" customFormat="1" ht="15.95" customHeight="1" x14ac:dyDescent="0.2">
      <c r="A56" s="1172"/>
      <c r="B56" s="1172"/>
      <c r="C56" s="1280"/>
      <c r="D56" s="1280"/>
      <c r="E56" s="1280"/>
      <c r="F56" s="1280"/>
      <c r="G56" s="1280"/>
      <c r="H56" s="1280"/>
      <c r="I56" s="1280"/>
      <c r="J56" s="1280"/>
      <c r="K56" s="393"/>
    </row>
    <row r="57" spans="1:11" s="1174" customFormat="1" ht="18" customHeight="1" x14ac:dyDescent="0.2">
      <c r="A57" s="1172"/>
      <c r="B57" s="1172"/>
      <c r="C57" s="1945" t="s">
        <v>54</v>
      </c>
      <c r="D57" s="1945"/>
      <c r="E57" s="1945"/>
      <c r="F57" s="1945"/>
      <c r="G57" s="1945"/>
      <c r="H57" s="1945"/>
      <c r="I57" s="1945"/>
      <c r="J57" s="1945"/>
      <c r="K57" s="1945"/>
    </row>
    <row r="58" spans="1:11" s="1174" customFormat="1" ht="15.95" customHeight="1" x14ac:dyDescent="0.2">
      <c r="A58" s="1172"/>
      <c r="B58" s="1172"/>
      <c r="C58" s="1945"/>
      <c r="D58" s="1945"/>
      <c r="E58" s="1945"/>
      <c r="F58" s="1945"/>
      <c r="G58" s="1945"/>
      <c r="H58" s="1945"/>
      <c r="I58" s="1945"/>
      <c r="J58" s="1945"/>
      <c r="K58" s="393"/>
    </row>
    <row r="59" spans="1:11" s="1174" customFormat="1" ht="18" customHeight="1" x14ac:dyDescent="0.2">
      <c r="A59" s="1172"/>
      <c r="B59" s="1174" t="s">
        <v>12</v>
      </c>
      <c r="C59" s="1945" t="s">
        <v>55</v>
      </c>
      <c r="D59" s="1945"/>
      <c r="E59" s="1945"/>
      <c r="F59" s="1945"/>
      <c r="G59" s="1945"/>
      <c r="H59" s="1945"/>
      <c r="I59" s="1945"/>
      <c r="J59" s="1945"/>
      <c r="K59" s="1945"/>
    </row>
    <row r="60" spans="1:11" s="1174" customFormat="1" ht="15.95" customHeight="1" x14ac:dyDescent="0.2">
      <c r="A60" s="1172"/>
      <c r="C60" s="1945"/>
      <c r="D60" s="1945"/>
      <c r="E60" s="1945"/>
      <c r="F60" s="1945"/>
      <c r="G60" s="1945"/>
      <c r="H60" s="1945"/>
      <c r="I60" s="1945"/>
      <c r="J60" s="1945"/>
      <c r="K60" s="393"/>
    </row>
    <row r="61" spans="1:11" s="1174" customFormat="1" ht="18" customHeight="1" x14ac:dyDescent="0.2">
      <c r="A61" s="1172"/>
      <c r="B61" s="1172"/>
      <c r="C61" s="1945" t="s">
        <v>56</v>
      </c>
      <c r="D61" s="1945"/>
      <c r="E61" s="1945"/>
      <c r="F61" s="1945"/>
      <c r="G61" s="1945"/>
      <c r="H61" s="1945"/>
      <c r="I61" s="1945"/>
      <c r="J61" s="1945"/>
      <c r="K61" s="1945"/>
    </row>
    <row r="62" spans="1:11" s="1174" customFormat="1" ht="15.95" customHeight="1" x14ac:dyDescent="0.2">
      <c r="A62" s="1172"/>
      <c r="B62" s="1172"/>
      <c r="C62" s="1945"/>
      <c r="D62" s="1945"/>
      <c r="E62" s="1945"/>
      <c r="F62" s="1945"/>
      <c r="G62" s="1945"/>
      <c r="H62" s="1945"/>
      <c r="I62" s="1945"/>
      <c r="J62" s="1945"/>
      <c r="K62" s="393"/>
    </row>
    <row r="63" spans="1:11" s="1174" customFormat="1" ht="18" customHeight="1" x14ac:dyDescent="0.2">
      <c r="A63" s="1172"/>
      <c r="B63" s="1172"/>
      <c r="C63" s="1945" t="s">
        <v>57</v>
      </c>
      <c r="D63" s="1945"/>
      <c r="E63" s="1945"/>
      <c r="F63" s="1945"/>
      <c r="G63" s="1945"/>
      <c r="H63" s="1945"/>
      <c r="I63" s="1945"/>
      <c r="J63" s="1945"/>
      <c r="K63" s="1945"/>
    </row>
    <row r="64" spans="1:11" s="1174" customFormat="1" ht="15.95" customHeight="1" x14ac:dyDescent="0.2">
      <c r="A64" s="1172"/>
      <c r="B64" s="1172"/>
      <c r="C64" s="1945"/>
      <c r="D64" s="1945"/>
      <c r="E64" s="1945"/>
      <c r="F64" s="1945"/>
      <c r="G64" s="1945"/>
      <c r="H64" s="1945"/>
      <c r="I64" s="1945"/>
      <c r="J64" s="1945"/>
      <c r="K64" s="393"/>
    </row>
    <row r="65" spans="1:13" s="1174" customFormat="1" ht="18" customHeight="1" x14ac:dyDescent="0.2">
      <c r="A65" s="1172"/>
      <c r="B65" s="1172"/>
      <c r="C65" s="1945" t="s">
        <v>58</v>
      </c>
      <c r="D65" s="1945"/>
      <c r="E65" s="1945"/>
      <c r="F65" s="1945"/>
      <c r="G65" s="1945"/>
      <c r="H65" s="1945"/>
      <c r="I65" s="1945"/>
      <c r="J65" s="1945"/>
      <c r="K65" s="1945"/>
    </row>
    <row r="66" spans="1:13" s="1174" customFormat="1" ht="15.95" customHeight="1" x14ac:dyDescent="0.2">
      <c r="A66" s="1172"/>
      <c r="B66" s="1172"/>
      <c r="C66" s="1945"/>
      <c r="D66" s="1945"/>
      <c r="E66" s="1945"/>
      <c r="F66" s="1945"/>
      <c r="G66" s="1945"/>
      <c r="H66" s="1945"/>
      <c r="I66" s="1945"/>
      <c r="J66" s="1945"/>
      <c r="K66" s="393"/>
    </row>
    <row r="67" spans="1:13" s="1174" customFormat="1" ht="18" customHeight="1" x14ac:dyDescent="0.2">
      <c r="A67" s="1172"/>
      <c r="B67" s="1172"/>
      <c r="C67" s="1945" t="s">
        <v>59</v>
      </c>
      <c r="D67" s="1945"/>
      <c r="E67" s="1945"/>
      <c r="F67" s="1945"/>
      <c r="G67" s="1945"/>
      <c r="H67" s="1945"/>
      <c r="I67" s="1945"/>
      <c r="J67" s="1945"/>
      <c r="K67" s="393"/>
    </row>
    <row r="68" spans="1:13" s="1174" customFormat="1" ht="15.95" customHeight="1" x14ac:dyDescent="0.25">
      <c r="A68" s="1172"/>
      <c r="B68" s="1172"/>
      <c r="C68" s="1945"/>
      <c r="D68" s="1945"/>
      <c r="E68" s="1945"/>
      <c r="F68" s="1945"/>
      <c r="G68" s="1945"/>
      <c r="H68" s="1945"/>
      <c r="I68" s="1945"/>
      <c r="J68" s="1945"/>
      <c r="K68" s="393"/>
      <c r="L68" s="400"/>
      <c r="M68" s="400"/>
    </row>
    <row r="69" spans="1:13" s="1174" customFormat="1" ht="18" customHeight="1" x14ac:dyDescent="0.25">
      <c r="A69" s="1172"/>
      <c r="B69" s="1172"/>
      <c r="C69" s="1933" t="s">
        <v>60</v>
      </c>
      <c r="D69" s="1933"/>
      <c r="E69" s="1933"/>
      <c r="F69" s="1933"/>
      <c r="G69" s="1933"/>
      <c r="H69" s="1933"/>
      <c r="I69" s="1281"/>
      <c r="J69" s="1281"/>
      <c r="K69" s="393"/>
      <c r="L69" s="400"/>
      <c r="M69" s="400"/>
    </row>
    <row r="70" spans="1:13" s="1174" customFormat="1" ht="15.95" customHeight="1" x14ac:dyDescent="0.25">
      <c r="A70" s="1172"/>
      <c r="B70" s="1172"/>
      <c r="C70" s="1281"/>
      <c r="D70" s="1281"/>
      <c r="E70" s="1281"/>
      <c r="F70" s="1281"/>
      <c r="G70" s="1281"/>
      <c r="H70" s="1281"/>
      <c r="I70" s="1281"/>
      <c r="J70" s="1281"/>
      <c r="K70" s="393"/>
      <c r="L70" s="400"/>
      <c r="M70" s="400"/>
    </row>
    <row r="71" spans="1:13" s="1174" customFormat="1" ht="18" customHeight="1" x14ac:dyDescent="0.25">
      <c r="A71" s="1172"/>
      <c r="B71" s="1172"/>
      <c r="C71" s="1933" t="s">
        <v>61</v>
      </c>
      <c r="D71" s="1933"/>
      <c r="E71" s="1933"/>
      <c r="F71" s="1933"/>
      <c r="G71" s="1933"/>
      <c r="H71" s="1933"/>
      <c r="I71" s="1281"/>
      <c r="J71" s="1281"/>
      <c r="K71" s="393"/>
      <c r="L71" s="400"/>
      <c r="M71" s="400"/>
    </row>
    <row r="72" spans="1:13" s="1174" customFormat="1" ht="16.5" customHeight="1" x14ac:dyDescent="0.25">
      <c r="A72" s="1172"/>
      <c r="B72" s="1172"/>
      <c r="C72" s="1173"/>
      <c r="D72" s="1173"/>
      <c r="E72" s="1173"/>
      <c r="F72" s="1173"/>
      <c r="G72" s="1173"/>
      <c r="H72" s="1173"/>
      <c r="I72" s="1180"/>
      <c r="J72" s="1180"/>
      <c r="K72" s="400"/>
      <c r="L72" s="400"/>
      <c r="M72" s="400"/>
    </row>
    <row r="73" spans="1:13" ht="15.95" customHeight="1" x14ac:dyDescent="0.25">
      <c r="A73" s="1172"/>
      <c r="B73" s="1172"/>
      <c r="C73" s="1173"/>
      <c r="D73" s="1173"/>
      <c r="E73" s="1173"/>
      <c r="F73" s="1173"/>
      <c r="G73" s="1173"/>
      <c r="H73" s="1173"/>
      <c r="I73" s="1180"/>
      <c r="J73" s="1180"/>
    </row>
    <row r="74" spans="1:13" ht="20.100000000000001" customHeight="1" x14ac:dyDescent="0.25">
      <c r="A74" s="1925" t="s">
        <v>527</v>
      </c>
      <c r="B74" s="1925"/>
      <c r="C74" s="1925"/>
      <c r="D74" s="1925"/>
      <c r="E74" s="1925"/>
      <c r="F74" s="1278"/>
      <c r="G74" s="1278"/>
    </row>
    <row r="75" spans="1:13" ht="12" customHeight="1" x14ac:dyDescent="0.25">
      <c r="A75" s="1181"/>
      <c r="B75" s="1181"/>
      <c r="C75" s="1181"/>
      <c r="D75" s="1181"/>
      <c r="E75" s="1181"/>
      <c r="F75" s="1278"/>
      <c r="G75" s="1278"/>
      <c r="H75" s="1278"/>
      <c r="I75" s="1278"/>
      <c r="J75" s="1182"/>
    </row>
    <row r="76" spans="1:13" ht="32.25" customHeight="1" x14ac:dyDescent="0.25">
      <c r="A76" s="1899" t="s">
        <v>612</v>
      </c>
      <c r="B76" s="1899"/>
      <c r="C76" s="1899"/>
      <c r="D76" s="1899"/>
      <c r="E76" s="1899"/>
      <c r="F76" s="1899"/>
      <c r="G76" s="1899"/>
      <c r="H76" s="1899"/>
      <c r="I76" s="1899"/>
      <c r="J76" s="1899"/>
      <c r="K76" s="1899"/>
    </row>
    <row r="77" spans="1:13" ht="12" customHeight="1" thickBot="1" x14ac:dyDescent="0.3">
      <c r="A77" s="1277"/>
      <c r="B77" s="1277"/>
      <c r="C77" s="1277"/>
      <c r="D77" s="1277"/>
      <c r="E77" s="1277"/>
      <c r="F77" s="1277"/>
      <c r="G77" s="1277"/>
      <c r="H77" s="1277"/>
      <c r="I77" s="1277"/>
      <c r="J77" s="1288"/>
      <c r="K77" s="393"/>
    </row>
    <row r="78" spans="1:13" ht="16.5" customHeight="1" thickBot="1" x14ac:dyDescent="0.3">
      <c r="A78" s="1277"/>
      <c r="B78" s="1937" t="s">
        <v>399</v>
      </c>
      <c r="C78" s="1938"/>
      <c r="D78" s="1939" t="s">
        <v>39</v>
      </c>
      <c r="E78" s="1940"/>
      <c r="F78" s="1940"/>
      <c r="G78" s="1939" t="s">
        <v>40</v>
      </c>
      <c r="H78" s="1940"/>
      <c r="I78" s="1941"/>
      <c r="J78" s="1288"/>
      <c r="K78" s="393"/>
      <c r="L78" s="1183"/>
    </row>
    <row r="79" spans="1:13" ht="30" customHeight="1" thickBot="1" x14ac:dyDescent="0.3">
      <c r="A79" s="393"/>
      <c r="B79" s="1952" t="e">
        <f>'RT03-F33'!P37</f>
        <v>#DIV/0!</v>
      </c>
      <c r="C79" s="1953"/>
      <c r="D79" s="1960" t="e">
        <f>'RT03-F33'!P38</f>
        <v>#DIV/0!</v>
      </c>
      <c r="E79" s="1961"/>
      <c r="F79" s="1962"/>
      <c r="G79" s="1949" t="e">
        <f>'RT03-F33'!P39</f>
        <v>#DIV/0!</v>
      </c>
      <c r="H79" s="1950"/>
      <c r="I79" s="1951"/>
      <c r="J79" s="1288"/>
      <c r="K79" s="393"/>
    </row>
    <row r="80" spans="1:13" ht="15.95" customHeight="1" x14ac:dyDescent="0.25">
      <c r="A80" s="1278"/>
      <c r="B80" s="1278"/>
      <c r="C80" s="1163"/>
      <c r="D80" s="1278"/>
      <c r="E80" s="1278"/>
      <c r="F80" s="1278"/>
      <c r="G80" s="1278"/>
      <c r="H80" s="1278"/>
      <c r="I80" s="1278"/>
      <c r="J80" s="1182"/>
    </row>
    <row r="81" spans="1:19" ht="20.100000000000001" customHeight="1" x14ac:dyDescent="0.25">
      <c r="A81" s="1925" t="s">
        <v>528</v>
      </c>
      <c r="B81" s="1925"/>
      <c r="C81" s="1925"/>
      <c r="D81" s="1925"/>
      <c r="E81" s="1925"/>
      <c r="F81" s="1277"/>
      <c r="G81" s="1277"/>
      <c r="H81" s="1277"/>
      <c r="I81" s="1277"/>
      <c r="J81" s="1184"/>
      <c r="K81" s="393"/>
    </row>
    <row r="82" spans="1:19" ht="12" customHeight="1" x14ac:dyDescent="0.25">
      <c r="A82" s="1170"/>
      <c r="B82" s="1277"/>
      <c r="C82" s="1277"/>
      <c r="D82" s="1277"/>
      <c r="E82" s="1277"/>
      <c r="F82" s="1277"/>
      <c r="G82" s="1277"/>
      <c r="H82" s="1277"/>
      <c r="I82" s="1277"/>
      <c r="J82" s="1288"/>
      <c r="K82" s="393"/>
    </row>
    <row r="83" spans="1:19" ht="21.75" customHeight="1" x14ac:dyDescent="0.25">
      <c r="A83" s="1932" t="s">
        <v>499</v>
      </c>
      <c r="B83" s="1932"/>
      <c r="C83" s="1932"/>
      <c r="D83" s="1932"/>
      <c r="E83" s="1932"/>
      <c r="F83" s="1932"/>
      <c r="G83" s="1932"/>
      <c r="H83" s="1932"/>
      <c r="I83" s="1932"/>
      <c r="J83" s="1932"/>
      <c r="K83" s="1932"/>
    </row>
    <row r="84" spans="1:19" ht="21.75" customHeight="1" x14ac:dyDescent="0.25">
      <c r="A84" s="1932"/>
      <c r="B84" s="1932"/>
      <c r="C84" s="1932"/>
      <c r="D84" s="1932"/>
      <c r="E84" s="1932"/>
      <c r="F84" s="1932"/>
      <c r="G84" s="1932"/>
      <c r="H84" s="1932"/>
      <c r="I84" s="1932"/>
      <c r="J84" s="1932"/>
      <c r="K84" s="1932"/>
    </row>
    <row r="85" spans="1:19" ht="15.95" customHeight="1" x14ac:dyDescent="0.25">
      <c r="A85" s="1185"/>
      <c r="B85" s="1185"/>
      <c r="C85" s="1185"/>
      <c r="D85" s="1185"/>
      <c r="E85" s="1185"/>
      <c r="F85" s="1185"/>
      <c r="G85" s="1185"/>
      <c r="H85" s="1185"/>
      <c r="I85" s="1185"/>
      <c r="J85" s="1185"/>
      <c r="K85" s="407"/>
    </row>
    <row r="86" spans="1:19" ht="120" customHeight="1" x14ac:dyDescent="0.25">
      <c r="A86" s="1185"/>
      <c r="B86" s="1185"/>
      <c r="C86" s="1185"/>
      <c r="D86" s="1185"/>
      <c r="E86" s="1185"/>
      <c r="F86" s="1185"/>
      <c r="G86" s="1185"/>
      <c r="H86" s="1185"/>
      <c r="I86" s="1185"/>
      <c r="J86" s="1185"/>
      <c r="K86" s="407"/>
    </row>
    <row r="87" spans="1:19" ht="15.95" customHeight="1" x14ac:dyDescent="0.25">
      <c r="A87" s="1185"/>
      <c r="B87" s="1185"/>
      <c r="C87" s="1185"/>
      <c r="D87" s="1185"/>
      <c r="E87" s="1185"/>
      <c r="F87" s="1185"/>
      <c r="G87" s="1878" t="s">
        <v>605</v>
      </c>
      <c r="H87" s="1878"/>
      <c r="I87" s="1878"/>
      <c r="J87" s="1877">
        <f>J6</f>
        <v>0</v>
      </c>
      <c r="K87" s="1877"/>
    </row>
    <row r="88" spans="1:19" s="1189" customFormat="1" ht="20.100000000000001" customHeight="1" x14ac:dyDescent="0.3">
      <c r="A88" s="1925" t="s">
        <v>529</v>
      </c>
      <c r="B88" s="1925"/>
      <c r="C88" s="1925"/>
      <c r="D88" s="1925"/>
      <c r="E88" s="1925"/>
      <c r="F88" s="1186"/>
      <c r="G88" s="1186"/>
      <c r="H88" s="1187"/>
      <c r="I88" s="1187"/>
      <c r="J88" s="1188"/>
      <c r="K88" s="1187"/>
    </row>
    <row r="89" spans="1:19" ht="12" customHeight="1" x14ac:dyDescent="0.25">
      <c r="A89" s="1190"/>
      <c r="B89" s="1190"/>
      <c r="C89" s="1190"/>
      <c r="D89" s="1190"/>
      <c r="E89" s="1190"/>
      <c r="F89" s="1277"/>
      <c r="G89" s="1277"/>
      <c r="H89" s="393"/>
      <c r="I89" s="393"/>
      <c r="J89" s="1288"/>
      <c r="K89" s="393"/>
    </row>
    <row r="90" spans="1:19" ht="51" customHeight="1" x14ac:dyDescent="0.25">
      <c r="A90" s="1932" t="s">
        <v>516</v>
      </c>
      <c r="B90" s="1932"/>
      <c r="C90" s="1932"/>
      <c r="D90" s="1932"/>
      <c r="E90" s="1932"/>
      <c r="F90" s="1932"/>
      <c r="G90" s="1932"/>
      <c r="H90" s="1932"/>
      <c r="I90" s="1932"/>
      <c r="J90" s="1932"/>
      <c r="K90" s="1932"/>
    </row>
    <row r="91" spans="1:19" ht="15.95" customHeight="1" thickBot="1" x14ac:dyDescent="0.3">
      <c r="A91" s="1191"/>
      <c r="B91" s="1191"/>
      <c r="C91" s="1191"/>
      <c r="D91" s="1191"/>
      <c r="E91" s="1191"/>
      <c r="F91" s="1191"/>
      <c r="G91" s="1191"/>
      <c r="H91" s="1191"/>
      <c r="I91" s="1191"/>
      <c r="J91" s="1191"/>
    </row>
    <row r="92" spans="1:19" ht="24.95" customHeight="1" thickBot="1" x14ac:dyDescent="0.3">
      <c r="A92" s="1934" t="s">
        <v>62</v>
      </c>
      <c r="B92" s="1935"/>
      <c r="C92" s="1936"/>
      <c r="D92" s="1289" t="s">
        <v>43</v>
      </c>
      <c r="E92" s="1900" t="s">
        <v>517</v>
      </c>
      <c r="F92" s="1901"/>
      <c r="G92" s="1934" t="s">
        <v>63</v>
      </c>
      <c r="H92" s="1935"/>
      <c r="I92" s="1934" t="s">
        <v>64</v>
      </c>
      <c r="J92" s="1936"/>
      <c r="K92" s="1192"/>
    </row>
    <row r="93" spans="1:19" ht="41.25" customHeight="1" x14ac:dyDescent="0.25">
      <c r="A93" s="1926" t="s">
        <v>583</v>
      </c>
      <c r="B93" s="1927"/>
      <c r="C93" s="1927"/>
      <c r="D93" s="1357" t="str">
        <f>DATOS!D31</f>
        <v>Serhapin test Measure</v>
      </c>
      <c r="E93" s="1902" t="s">
        <v>518</v>
      </c>
      <c r="F93" s="1903"/>
      <c r="G93" s="1884" t="str">
        <f>DATOS!E31</f>
        <v xml:space="preserve">16-5935702             </v>
      </c>
      <c r="H93" s="1885"/>
      <c r="I93" s="1884" t="str">
        <f>DATOS!L31</f>
        <v>INM 3688</v>
      </c>
      <c r="J93" s="1976"/>
      <c r="K93" s="1192"/>
    </row>
    <row r="94" spans="1:19" ht="27" customHeight="1" x14ac:dyDescent="0.25">
      <c r="A94" s="1955" t="s">
        <v>492</v>
      </c>
      <c r="B94" s="1956"/>
      <c r="C94" s="1956"/>
      <c r="D94" s="1358" t="str">
        <f>DATOS!D38</f>
        <v xml:space="preserve">Lufft </v>
      </c>
      <c r="E94" s="1907" t="s">
        <v>519</v>
      </c>
      <c r="F94" s="1908"/>
      <c r="G94" s="1947" t="str">
        <f>DATOS!E44</f>
        <v xml:space="preserve">004,0816,1212,006 / pt 347980,002     </v>
      </c>
      <c r="H94" s="1948"/>
      <c r="I94" s="1947" t="str">
        <f>DATOS!L44</f>
        <v>INM 3934</v>
      </c>
      <c r="J94" s="1957"/>
      <c r="K94" s="1192"/>
      <c r="S94" s="1361"/>
    </row>
    <row r="95" spans="1:19" ht="27" customHeight="1" x14ac:dyDescent="0.25">
      <c r="A95" s="1955" t="s">
        <v>493</v>
      </c>
      <c r="B95" s="1956"/>
      <c r="C95" s="1956"/>
      <c r="D95" s="1358" t="str">
        <f>DATOS!D44</f>
        <v xml:space="preserve">Lufft </v>
      </c>
      <c r="E95" s="1907" t="s">
        <v>519</v>
      </c>
      <c r="F95" s="1908"/>
      <c r="G95" s="1947" t="str">
        <f>DATOS!E38</f>
        <v xml:space="preserve">22,1014,1212,,005 / pt 347980,004     </v>
      </c>
      <c r="H95" s="1948"/>
      <c r="I95" s="1947" t="str">
        <f>DATOS!L38</f>
        <v>INM 3933</v>
      </c>
      <c r="J95" s="1957"/>
      <c r="K95" s="1192"/>
    </row>
    <row r="96" spans="1:19" ht="27" customHeight="1" thickBot="1" x14ac:dyDescent="0.3">
      <c r="A96" s="1958" t="s">
        <v>31</v>
      </c>
      <c r="B96" s="1959"/>
      <c r="C96" s="1959"/>
      <c r="D96" s="1359" t="e">
        <f>VLOOKUP(K96,DATOS!$C$111:$L$117,2,FALSE)</f>
        <v>#N/A</v>
      </c>
      <c r="E96" s="1909" t="s">
        <v>396</v>
      </c>
      <c r="F96" s="1910"/>
      <c r="G96" s="1966" t="e">
        <f>VLOOKUP(K96,DATOS!$C$111:$L$117,3,FALSE)</f>
        <v>#N/A</v>
      </c>
      <c r="H96" s="1967"/>
      <c r="I96" s="1968" t="e">
        <f>VLOOKUP(K96,DATOS!$C$111:$L$117,10,FALSE)</f>
        <v>#N/A</v>
      </c>
      <c r="J96" s="1969"/>
      <c r="K96" s="1252"/>
    </row>
    <row r="97" spans="1:13" ht="15.95" customHeight="1" x14ac:dyDescent="0.25">
      <c r="B97" s="1286"/>
      <c r="C97" s="1286"/>
      <c r="D97" s="1193"/>
      <c r="E97" s="1193"/>
      <c r="F97" s="1163"/>
      <c r="G97" s="1193"/>
      <c r="H97" s="1193"/>
      <c r="I97" s="1193"/>
      <c r="J97" s="1193"/>
      <c r="K97" s="1194"/>
      <c r="L97" s="1194"/>
      <c r="M97" s="1194"/>
    </row>
    <row r="98" spans="1:13" s="1189" customFormat="1" ht="20.100000000000001" customHeight="1" x14ac:dyDescent="0.3">
      <c r="A98" s="1925" t="s">
        <v>613</v>
      </c>
      <c r="B98" s="1925"/>
      <c r="C98" s="1925"/>
      <c r="D98" s="1925"/>
      <c r="E98" s="1925"/>
      <c r="F98" s="1925"/>
      <c r="G98" s="1925"/>
      <c r="H98" s="1925"/>
      <c r="I98" s="1925"/>
      <c r="J98" s="1925"/>
      <c r="K98" s="1925"/>
      <c r="L98" s="1195"/>
      <c r="M98" s="1195"/>
    </row>
    <row r="99" spans="1:13" s="1189" customFormat="1" ht="12" customHeight="1" x14ac:dyDescent="0.3">
      <c r="A99" s="1196"/>
      <c r="B99" s="1196"/>
      <c r="C99" s="1196"/>
      <c r="D99" s="1196"/>
      <c r="E99" s="1196"/>
      <c r="F99" s="1177"/>
      <c r="G99" s="1177"/>
      <c r="H99" s="1177"/>
      <c r="I99" s="1177"/>
      <c r="J99" s="1197"/>
      <c r="K99" s="1195"/>
      <c r="L99" s="1195"/>
      <c r="M99" s="1195"/>
    </row>
    <row r="100" spans="1:13" ht="15" customHeight="1" thickBot="1" x14ac:dyDescent="0.3">
      <c r="A100" s="1954"/>
      <c r="B100" s="1954"/>
      <c r="C100" s="1954"/>
      <c r="D100" s="1954"/>
      <c r="E100" s="1954"/>
      <c r="F100" s="1954"/>
      <c r="G100" s="1954"/>
      <c r="H100" s="1954"/>
      <c r="I100" s="1954"/>
      <c r="J100" s="1182"/>
      <c r="K100" s="1194"/>
      <c r="L100" s="1194"/>
      <c r="M100" s="1194"/>
    </row>
    <row r="101" spans="1:13" ht="39.950000000000003" customHeight="1" thickBot="1" x14ac:dyDescent="0.3">
      <c r="A101" s="1888" t="s">
        <v>32</v>
      </c>
      <c r="B101" s="1906"/>
      <c r="C101" s="1888" t="s">
        <v>33</v>
      </c>
      <c r="D101" s="1889"/>
      <c r="E101" s="1906"/>
      <c r="F101" s="1888" t="s">
        <v>488</v>
      </c>
      <c r="G101" s="1906"/>
      <c r="H101" s="1198" t="s">
        <v>584</v>
      </c>
      <c r="I101" s="1199"/>
    </row>
    <row r="102" spans="1:13" s="1194" customFormat="1" ht="24.95" customHeight="1" thickBot="1" x14ac:dyDescent="0.3">
      <c r="A102" s="1200" t="e">
        <f>'RT03-F33'!$F$29</f>
        <v>#N/A</v>
      </c>
      <c r="B102" s="1201"/>
      <c r="C102" s="1880">
        <f>'RT03-F33'!M30</f>
        <v>18927.055</v>
      </c>
      <c r="D102" s="1880"/>
      <c r="E102" s="1202" t="s">
        <v>4</v>
      </c>
      <c r="F102" s="1203" t="e">
        <f>'RT03-F33'!C121</f>
        <v>#N/A</v>
      </c>
      <c r="G102" s="1204" t="s">
        <v>4</v>
      </c>
      <c r="H102" s="1205" t="e">
        <f>IF('RT03-F33'!F121&lt;=(DATOS!Q151),"6,3","AJUSTAR")</f>
        <v>#N/A</v>
      </c>
      <c r="I102" s="1204" t="s">
        <v>4</v>
      </c>
      <c r="J102" s="400"/>
      <c r="K102" s="400"/>
    </row>
    <row r="103" spans="1:13" s="1194" customFormat="1" ht="24.95" customHeight="1" thickBot="1" x14ac:dyDescent="0.3">
      <c r="A103" s="1200" t="e">
        <f>'RT03-F33'!$F$29</f>
        <v>#N/A</v>
      </c>
      <c r="B103" s="1201"/>
      <c r="C103" s="1972">
        <f>'RT03-F33'!M28</f>
        <v>1155.0000427166315</v>
      </c>
      <c r="D103" s="1973"/>
      <c r="E103" s="1206" t="s">
        <v>585</v>
      </c>
      <c r="F103" s="1207" t="e">
        <f>'RT03-F33'!C122</f>
        <v>#N/A</v>
      </c>
      <c r="G103" s="1208" t="s">
        <v>585</v>
      </c>
      <c r="H103" s="1205" t="e">
        <f>IF('RT03-F33'!F122&lt;=(DATOS!R151),"0,38","AJUSTAR")</f>
        <v>#N/A</v>
      </c>
      <c r="I103" s="1208" t="s">
        <v>585</v>
      </c>
      <c r="K103" s="400"/>
    </row>
    <row r="104" spans="1:13" s="1194" customFormat="1" ht="24.95" customHeight="1" thickBot="1" x14ac:dyDescent="0.3">
      <c r="A104" s="1200" t="e">
        <f>'RT03-F33'!$F$29</f>
        <v>#N/A</v>
      </c>
      <c r="B104" s="1209"/>
      <c r="C104" s="1970">
        <f>'RT03-F33'!M27</f>
        <v>5</v>
      </c>
      <c r="D104" s="1971"/>
      <c r="E104" s="1206" t="s">
        <v>9</v>
      </c>
      <c r="F104" s="1210" t="e">
        <f>'RT03-F33'!C123</f>
        <v>#N/A</v>
      </c>
      <c r="G104" s="1208" t="s">
        <v>9</v>
      </c>
      <c r="H104" s="1205" t="e">
        <f>IF('RT03-F33'!F123&lt;=(DATOS!S151),"0,0017","AJUSTAR")</f>
        <v>#N/A</v>
      </c>
      <c r="I104" s="1208" t="s">
        <v>9</v>
      </c>
      <c r="K104" s="400"/>
    </row>
    <row r="105" spans="1:13" ht="24" hidden="1" customHeight="1" thickBot="1" x14ac:dyDescent="0.3">
      <c r="A105" s="1200" t="e">
        <f>'RT03-F33'!$F$29</f>
        <v>#N/A</v>
      </c>
      <c r="B105" s="1209"/>
      <c r="C105" s="1928">
        <v>100</v>
      </c>
      <c r="D105" s="1929"/>
      <c r="E105" s="1206" t="s">
        <v>400</v>
      </c>
      <c r="F105" s="1210" t="e">
        <f>'RT03-F33'!C124</f>
        <v>#N/A</v>
      </c>
      <c r="G105" s="1206" t="s">
        <v>400</v>
      </c>
      <c r="H105" s="1205" t="e">
        <f>IF('RT03-F33'!F123&lt;=(DATOS!S151),"0,063","AJUSTAR")</f>
        <v>#N/A</v>
      </c>
      <c r="I105" s="1208" t="s">
        <v>400</v>
      </c>
      <c r="J105" s="1194"/>
    </row>
    <row r="106" spans="1:13" ht="15.95" customHeight="1" thickBot="1" x14ac:dyDescent="0.3">
      <c r="A106" s="1211"/>
      <c r="B106" s="1212"/>
      <c r="C106" s="1213"/>
      <c r="D106" s="1213"/>
      <c r="E106" s="737"/>
      <c r="F106" s="1214"/>
      <c r="G106" s="737"/>
      <c r="H106" s="1215"/>
      <c r="I106" s="1262"/>
      <c r="J106" s="1194"/>
    </row>
    <row r="107" spans="1:13" ht="15" hidden="1" customHeight="1" thickBot="1" x14ac:dyDescent="0.3">
      <c r="A107" s="1216" t="s">
        <v>489</v>
      </c>
      <c r="B107" s="1216"/>
      <c r="C107" s="1216"/>
      <c r="D107" s="1216"/>
      <c r="E107" s="1216"/>
      <c r="F107" s="1216"/>
      <c r="G107" s="1216"/>
      <c r="H107" s="1216"/>
      <c r="I107" s="1216"/>
    </row>
    <row r="108" spans="1:13" s="1192" customFormat="1" ht="39.950000000000003" hidden="1" customHeight="1" thickBot="1" x14ac:dyDescent="0.25">
      <c r="A108" s="1217" t="s">
        <v>32</v>
      </c>
      <c r="B108" s="1218"/>
      <c r="C108" s="1217" t="s">
        <v>33</v>
      </c>
      <c r="D108" s="1218"/>
      <c r="E108" s="1217"/>
      <c r="F108" s="1888" t="s">
        <v>488</v>
      </c>
      <c r="G108" s="1889"/>
      <c r="H108" s="1198" t="s">
        <v>584</v>
      </c>
      <c r="I108" s="1199"/>
    </row>
    <row r="109" spans="1:13" ht="24.95" hidden="1" customHeight="1" thickBot="1" x14ac:dyDescent="0.3">
      <c r="A109" s="1219" t="e">
        <f>A102</f>
        <v>#N/A</v>
      </c>
      <c r="B109" s="1209"/>
      <c r="C109" s="1254">
        <f>C102</f>
        <v>18927.055</v>
      </c>
      <c r="D109" s="1254"/>
      <c r="E109" s="1206" t="s">
        <v>4</v>
      </c>
      <c r="F109" s="1220" t="e">
        <f>'CALIBRACIÓN DESPUES DE AJUSTE'!C121</f>
        <v>#N/A</v>
      </c>
      <c r="G109" s="1221" t="s">
        <v>4</v>
      </c>
      <c r="H109" s="1220" t="e">
        <f>IF('CALIBRACIÓN DESPUES DE AJUSTE'!F121&lt;=(DATOS!Q151),"6,3","AJUSTAR")</f>
        <v>#N/A</v>
      </c>
      <c r="I109" s="1206" t="s">
        <v>4</v>
      </c>
    </row>
    <row r="110" spans="1:13" ht="24.95" hidden="1" customHeight="1" thickBot="1" x14ac:dyDescent="0.3">
      <c r="A110" s="1219" t="e">
        <f>A103</f>
        <v>#N/A</v>
      </c>
      <c r="B110" s="1209"/>
      <c r="C110" s="1255">
        <f>C103</f>
        <v>1155.0000427166315</v>
      </c>
      <c r="D110" s="1255"/>
      <c r="E110" s="1206" t="s">
        <v>585</v>
      </c>
      <c r="F110" s="1222" t="e">
        <f>'CALIBRACIÓN DESPUES DE AJUSTE'!C122</f>
        <v>#N/A</v>
      </c>
      <c r="G110" s="1221" t="s">
        <v>585</v>
      </c>
      <c r="H110" s="1220" t="e">
        <f>IF('CALIBRACIÓN DESPUES DE AJUSTE'!F122&lt;=(DATOS!R151),"0,38","AJUSTAR")</f>
        <v>#N/A</v>
      </c>
      <c r="I110" s="1206" t="s">
        <v>585</v>
      </c>
    </row>
    <row r="111" spans="1:13" ht="24.95" hidden="1" customHeight="1" thickBot="1" x14ac:dyDescent="0.3">
      <c r="A111" s="1219" t="e">
        <f>A104</f>
        <v>#N/A</v>
      </c>
      <c r="B111" s="1209"/>
      <c r="C111" s="1256">
        <f>C104</f>
        <v>5</v>
      </c>
      <c r="D111" s="1255"/>
      <c r="E111" s="1206" t="s">
        <v>9</v>
      </c>
      <c r="F111" s="1223" t="e">
        <f>'CALIBRACIÓN DESPUES DE AJUSTE'!C123</f>
        <v>#N/A</v>
      </c>
      <c r="G111" s="1221" t="s">
        <v>9</v>
      </c>
      <c r="H111" s="1220" t="e">
        <f>IF('CALIBRACIÓN DESPUES DE AJUSTE'!F123&lt;=(DATOS!S151),"0,0017","AJUSTAR")</f>
        <v>#N/A</v>
      </c>
      <c r="I111" s="1206" t="s">
        <v>9</v>
      </c>
    </row>
    <row r="112" spans="1:13" ht="12.75" hidden="1" customHeight="1" thickBot="1" x14ac:dyDescent="0.3">
      <c r="A112" s="1224" t="e">
        <f>'RT03-F33'!$F$29</f>
        <v>#N/A</v>
      </c>
      <c r="B112" s="1225"/>
      <c r="C112" s="1930">
        <v>100</v>
      </c>
      <c r="D112" s="1931"/>
      <c r="E112" s="1226" t="s">
        <v>400</v>
      </c>
      <c r="F112" s="1227">
        <f>'RT03-F33'!C130</f>
        <v>0</v>
      </c>
      <c r="G112" s="1226" t="s">
        <v>400</v>
      </c>
      <c r="H112" s="1228" t="str">
        <f>IF('RT03-F33'!F129&lt;=(DATOS!S157),"0,063","AJUSTAR")</f>
        <v>0,063</v>
      </c>
      <c r="I112" s="1229" t="s">
        <v>400</v>
      </c>
      <c r="J112" s="1194"/>
    </row>
    <row r="113" spans="1:12" ht="15.95" hidden="1" customHeight="1" thickBot="1" x14ac:dyDescent="0.3"/>
    <row r="114" spans="1:12" ht="18" customHeight="1" thickBot="1" x14ac:dyDescent="0.3">
      <c r="A114" s="1898" t="s">
        <v>530</v>
      </c>
      <c r="B114" s="1898"/>
      <c r="C114" s="1898"/>
      <c r="D114" s="1898"/>
      <c r="E114" s="1898"/>
      <c r="F114" s="1230" t="e">
        <f>IF((F109)," SI","NO")</f>
        <v>#N/A</v>
      </c>
      <c r="G114" s="393"/>
      <c r="H114" s="393"/>
      <c r="I114" s="393"/>
    </row>
    <row r="115" spans="1:12" ht="15.95" customHeight="1" thickBot="1" x14ac:dyDescent="0.3">
      <c r="A115" s="1231"/>
      <c r="B115" s="1231"/>
      <c r="C115" s="1231"/>
      <c r="D115" s="1231"/>
      <c r="E115" s="1231"/>
      <c r="F115" s="393"/>
      <c r="G115" s="393"/>
      <c r="H115" s="393"/>
      <c r="I115" s="393"/>
      <c r="J115" s="1193"/>
    </row>
    <row r="116" spans="1:12" ht="15" customHeight="1" thickBot="1" x14ac:dyDescent="0.3">
      <c r="A116" s="1975" t="s">
        <v>287</v>
      </c>
      <c r="B116" s="1975"/>
      <c r="C116" s="1975"/>
      <c r="D116" s="1975"/>
      <c r="E116" s="1975"/>
      <c r="F116" s="1360" t="s">
        <v>508</v>
      </c>
      <c r="G116" s="1178"/>
      <c r="H116" s="1282"/>
      <c r="I116" s="1178"/>
      <c r="J116" s="1278"/>
    </row>
    <row r="117" spans="1:12" ht="15.95" customHeight="1" x14ac:dyDescent="0.25">
      <c r="A117" s="1232"/>
      <c r="B117" s="1232"/>
      <c r="C117" s="1232"/>
      <c r="D117" s="1232"/>
      <c r="E117" s="1232"/>
      <c r="F117" s="1232"/>
      <c r="G117" s="1232"/>
      <c r="H117" s="393"/>
      <c r="I117" s="393"/>
    </row>
    <row r="118" spans="1:12" ht="16.5" customHeight="1" x14ac:dyDescent="0.25">
      <c r="A118" s="1890" t="s">
        <v>531</v>
      </c>
      <c r="B118" s="1890"/>
      <c r="C118" s="1890"/>
      <c r="D118" s="1890"/>
      <c r="E118" s="1890"/>
      <c r="F118" s="1890"/>
      <c r="G118" s="1890"/>
      <c r="H118" s="1890"/>
      <c r="I118" s="1890"/>
      <c r="J118" s="1163"/>
    </row>
    <row r="119" spans="1:12" ht="12" customHeight="1" thickBot="1" x14ac:dyDescent="0.3">
      <c r="A119" s="1279"/>
      <c r="B119" s="1279"/>
      <c r="C119" s="1279"/>
      <c r="D119" s="1279"/>
      <c r="E119" s="1279"/>
      <c r="F119" s="1279"/>
      <c r="G119" s="1279"/>
      <c r="H119" s="1279"/>
      <c r="I119" s="1279"/>
      <c r="J119" s="1233"/>
      <c r="K119" s="393"/>
    </row>
    <row r="120" spans="1:12" ht="16.5" customHeight="1" thickBot="1" x14ac:dyDescent="0.3">
      <c r="A120" s="1277"/>
      <c r="B120" s="1277"/>
      <c r="C120" s="1277"/>
      <c r="D120" s="1277"/>
      <c r="E120" s="393"/>
      <c r="F120" s="1234" t="s">
        <v>7</v>
      </c>
      <c r="G120" s="1279"/>
      <c r="H120" s="393"/>
      <c r="I120" s="393"/>
      <c r="J120" s="393"/>
      <c r="K120" s="393"/>
    </row>
    <row r="121" spans="1:12" ht="16.5" customHeight="1" x14ac:dyDescent="0.25">
      <c r="A121" s="1165"/>
      <c r="B121" s="1165"/>
      <c r="C121" s="1235" t="s">
        <v>4</v>
      </c>
      <c r="D121" s="1236" t="e">
        <f>'VERIFICACIÓN DE LA ESCALA'!C56</f>
        <v>#N/A</v>
      </c>
      <c r="E121" s="1891" t="s">
        <v>491</v>
      </c>
      <c r="F121" s="1237" t="e">
        <f>'VERIFICACIÓN DE LA ESCALA'!F56</f>
        <v>#N/A</v>
      </c>
      <c r="G121" s="1231"/>
      <c r="H121" s="393"/>
      <c r="I121" s="393"/>
      <c r="J121" s="393"/>
      <c r="K121" s="393"/>
    </row>
    <row r="122" spans="1:12" ht="15" customHeight="1" x14ac:dyDescent="0.25">
      <c r="A122" s="1277"/>
      <c r="B122" s="393"/>
      <c r="C122" s="1238" t="s">
        <v>490</v>
      </c>
      <c r="D122" s="1239" t="e">
        <f>'VERIFICACIÓN DE LA ESCALA'!C57</f>
        <v>#N/A</v>
      </c>
      <c r="E122" s="1892"/>
      <c r="F122" s="1240" t="e">
        <f>'VERIFICACIÓN DE LA ESCALA'!F57</f>
        <v>#N/A</v>
      </c>
      <c r="G122" s="393"/>
      <c r="H122" s="393"/>
      <c r="I122" s="393"/>
      <c r="J122" s="393"/>
      <c r="K122" s="393"/>
    </row>
    <row r="123" spans="1:12" ht="15" customHeight="1" thickBot="1" x14ac:dyDescent="0.3">
      <c r="A123" s="1277"/>
      <c r="B123" s="393"/>
      <c r="C123" s="1241" t="s">
        <v>400</v>
      </c>
      <c r="D123" s="1242" t="e">
        <f>'VERIFICACIÓN DE LA ESCALA'!C58</f>
        <v>#N/A</v>
      </c>
      <c r="E123" s="1893"/>
      <c r="F123" s="1243" t="e">
        <f>'VERIFICACIÓN DE LA ESCALA'!F58</f>
        <v>#N/A</v>
      </c>
      <c r="G123" s="393"/>
      <c r="H123" s="393"/>
      <c r="I123" s="393"/>
      <c r="J123" s="393"/>
      <c r="K123" s="393"/>
    </row>
    <row r="124" spans="1:12" ht="15" customHeight="1" x14ac:dyDescent="0.25">
      <c r="A124" s="1277"/>
      <c r="B124" s="393"/>
      <c r="C124" s="393"/>
      <c r="D124" s="393"/>
      <c r="E124" s="393"/>
      <c r="F124" s="393"/>
      <c r="G124" s="393"/>
      <c r="H124" s="393"/>
      <c r="I124" s="393"/>
      <c r="J124" s="393"/>
      <c r="K124" s="393"/>
    </row>
    <row r="125" spans="1:12" ht="120" customHeight="1" x14ac:dyDescent="0.25">
      <c r="A125" s="1277"/>
      <c r="B125" s="393"/>
      <c r="C125" s="393"/>
      <c r="D125" s="393"/>
      <c r="E125" s="393"/>
      <c r="F125" s="393"/>
      <c r="G125" s="393"/>
      <c r="H125" s="393"/>
      <c r="I125" s="393"/>
      <c r="J125" s="393"/>
      <c r="K125" s="393"/>
    </row>
    <row r="126" spans="1:12" ht="15" customHeight="1" x14ac:dyDescent="0.25">
      <c r="A126" s="1277"/>
      <c r="B126" s="393"/>
      <c r="C126" s="393"/>
      <c r="D126" s="393"/>
      <c r="E126" s="393"/>
      <c r="F126" s="393"/>
      <c r="G126" s="1878" t="s">
        <v>605</v>
      </c>
      <c r="H126" s="1878"/>
      <c r="I126" s="1878"/>
      <c r="J126" s="1877">
        <f>J6</f>
        <v>0</v>
      </c>
      <c r="K126" s="1877"/>
    </row>
    <row r="127" spans="1:12" ht="12" customHeight="1" x14ac:dyDescent="0.25">
      <c r="A127" s="1897" t="s">
        <v>610</v>
      </c>
      <c r="B127" s="1897"/>
      <c r="C127" s="1897"/>
      <c r="D127" s="1897"/>
      <c r="E127" s="1897"/>
      <c r="F127" s="1897"/>
      <c r="G127" s="390"/>
      <c r="H127" s="393"/>
      <c r="I127" s="393"/>
      <c r="J127" s="393"/>
      <c r="K127" s="393"/>
      <c r="L127" s="393"/>
    </row>
    <row r="128" spans="1:12" ht="15" customHeight="1" x14ac:dyDescent="0.25">
      <c r="A128" s="1279"/>
      <c r="B128" s="1279"/>
      <c r="C128" s="1279"/>
      <c r="D128" s="1277"/>
      <c r="E128" s="1277"/>
      <c r="F128" s="1277"/>
      <c r="G128" s="1277"/>
      <c r="H128" s="393"/>
      <c r="I128" s="393"/>
      <c r="J128" s="1288"/>
      <c r="K128" s="393"/>
      <c r="L128" s="393"/>
    </row>
    <row r="129" spans="1:13" s="1244" customFormat="1" ht="15" customHeight="1" x14ac:dyDescent="0.25">
      <c r="A129" s="1895"/>
      <c r="B129" s="1895"/>
      <c r="C129" s="1895"/>
      <c r="D129" s="1895"/>
      <c r="E129" s="1895"/>
      <c r="F129" s="1895"/>
      <c r="G129" s="1895"/>
      <c r="H129" s="1895"/>
      <c r="I129" s="1895"/>
      <c r="J129" s="1895"/>
      <c r="K129" s="1895"/>
      <c r="L129" s="1187"/>
    </row>
    <row r="130" spans="1:13" ht="15" customHeight="1" x14ac:dyDescent="0.25">
      <c r="A130" s="1347"/>
      <c r="B130" s="1347"/>
      <c r="C130" s="1347"/>
      <c r="D130" s="1347"/>
      <c r="E130" s="1347"/>
      <c r="F130" s="1347"/>
      <c r="G130" s="1347"/>
      <c r="H130" s="1347"/>
      <c r="I130" s="1347"/>
      <c r="J130" s="1347"/>
      <c r="K130" s="1348"/>
      <c r="L130" s="393"/>
    </row>
    <row r="131" spans="1:13" ht="15" customHeight="1" x14ac:dyDescent="0.25">
      <c r="A131" s="1895"/>
      <c r="B131" s="1895"/>
      <c r="C131" s="1895"/>
      <c r="D131" s="1895"/>
      <c r="E131" s="1895"/>
      <c r="F131" s="1895"/>
      <c r="G131" s="1895"/>
      <c r="H131" s="1895"/>
      <c r="I131" s="1895"/>
      <c r="J131" s="1895"/>
      <c r="K131" s="1348"/>
      <c r="L131" s="393"/>
    </row>
    <row r="132" spans="1:13" ht="15" customHeight="1" x14ac:dyDescent="0.25">
      <c r="A132" s="1347"/>
      <c r="B132" s="1347"/>
      <c r="C132" s="1347"/>
      <c r="D132" s="1347"/>
      <c r="E132" s="1347"/>
      <c r="F132" s="1347"/>
      <c r="G132" s="1347"/>
      <c r="H132" s="1347"/>
      <c r="I132" s="1347"/>
      <c r="J132" s="1347"/>
      <c r="K132" s="1348"/>
      <c r="L132" s="393"/>
    </row>
    <row r="133" spans="1:13" ht="15" customHeight="1" x14ac:dyDescent="0.25">
      <c r="A133" s="1895"/>
      <c r="B133" s="1895"/>
      <c r="C133" s="1895"/>
      <c r="D133" s="1895"/>
      <c r="E133" s="1895"/>
      <c r="F133" s="1895"/>
      <c r="G133" s="1895"/>
      <c r="H133" s="1895"/>
      <c r="I133" s="1895"/>
      <c r="J133" s="1895"/>
      <c r="K133" s="1895"/>
      <c r="L133" s="393"/>
    </row>
    <row r="134" spans="1:13" ht="15" customHeight="1" x14ac:dyDescent="0.25">
      <c r="A134" s="1347"/>
      <c r="B134" s="1347"/>
      <c r="C134" s="1347"/>
      <c r="D134" s="1347"/>
      <c r="E134" s="1347"/>
      <c r="F134" s="1347"/>
      <c r="G134" s="1347"/>
      <c r="H134" s="1347"/>
      <c r="I134" s="1347"/>
      <c r="J134" s="1347"/>
      <c r="K134" s="1348"/>
      <c r="L134" s="393"/>
    </row>
    <row r="135" spans="1:13" s="1244" customFormat="1" ht="15" customHeight="1" x14ac:dyDescent="0.25">
      <c r="A135" s="1974"/>
      <c r="B135" s="1974"/>
      <c r="C135" s="1974"/>
      <c r="D135" s="1974"/>
      <c r="E135" s="1974"/>
      <c r="F135" s="1974"/>
      <c r="G135" s="1974"/>
      <c r="H135" s="1974"/>
      <c r="I135" s="1974"/>
      <c r="J135" s="1974"/>
      <c r="K135" s="1974"/>
      <c r="L135" s="1245"/>
      <c r="M135" s="1246"/>
    </row>
    <row r="136" spans="1:13" ht="15" customHeight="1" x14ac:dyDescent="0.25">
      <c r="A136" s="1349"/>
      <c r="B136" s="1349"/>
      <c r="C136" s="1349"/>
      <c r="D136" s="1349"/>
      <c r="E136" s="1349"/>
      <c r="F136" s="1349"/>
      <c r="G136" s="1349"/>
      <c r="H136" s="1349"/>
      <c r="I136" s="1349"/>
      <c r="J136" s="1349"/>
      <c r="K136" s="1349"/>
      <c r="L136" s="1280"/>
      <c r="M136" s="1247"/>
    </row>
    <row r="137" spans="1:13" ht="15" customHeight="1" x14ac:dyDescent="0.25">
      <c r="A137" s="1974"/>
      <c r="B137" s="1974"/>
      <c r="C137" s="1974"/>
      <c r="D137" s="1974"/>
      <c r="E137" s="1974"/>
      <c r="F137" s="1974"/>
      <c r="G137" s="1974"/>
      <c r="H137" s="1974"/>
      <c r="I137" s="1974"/>
      <c r="J137" s="1974"/>
      <c r="K137" s="1974"/>
      <c r="L137" s="1248"/>
      <c r="M137" s="1247"/>
    </row>
    <row r="138" spans="1:13" ht="15" customHeight="1" x14ac:dyDescent="0.25">
      <c r="A138" s="1347"/>
      <c r="B138" s="1347"/>
      <c r="C138" s="1347"/>
      <c r="D138" s="1347"/>
      <c r="E138" s="1347"/>
      <c r="F138" s="1347"/>
      <c r="G138" s="1347"/>
      <c r="H138" s="1347"/>
      <c r="I138" s="1347"/>
      <c r="J138" s="1347"/>
      <c r="K138" s="1349"/>
      <c r="L138" s="1248"/>
      <c r="M138" s="1171"/>
    </row>
    <row r="139" spans="1:13" ht="15" customHeight="1" x14ac:dyDescent="0.25">
      <c r="A139" s="1974"/>
      <c r="B139" s="1974"/>
      <c r="C139" s="1974"/>
      <c r="D139" s="1974"/>
      <c r="E139" s="1974"/>
      <c r="F139" s="1974"/>
      <c r="G139" s="1974"/>
      <c r="H139" s="1974"/>
      <c r="I139" s="1974"/>
      <c r="J139" s="1974"/>
      <c r="K139" s="1974"/>
      <c r="L139" s="1248"/>
      <c r="M139" s="1171"/>
    </row>
    <row r="140" spans="1:13" ht="15" customHeight="1" x14ac:dyDescent="0.25">
      <c r="A140" s="1894"/>
      <c r="B140" s="1894"/>
      <c r="C140" s="1894"/>
      <c r="D140" s="1894"/>
      <c r="E140" s="1894"/>
      <c r="F140" s="1894"/>
      <c r="G140" s="1894"/>
      <c r="H140" s="1894"/>
      <c r="I140" s="1894"/>
      <c r="J140" s="1350"/>
      <c r="K140" s="1351"/>
      <c r="L140" s="1249"/>
      <c r="M140" s="1171"/>
    </row>
    <row r="141" spans="1:13" ht="15" customHeight="1" x14ac:dyDescent="0.25">
      <c r="A141" s="1894"/>
      <c r="B141" s="1894"/>
      <c r="C141" s="1894"/>
      <c r="D141" s="1894"/>
      <c r="E141" s="1894"/>
      <c r="F141" s="1894"/>
      <c r="G141" s="1894"/>
      <c r="H141" s="1894"/>
      <c r="I141" s="1894"/>
      <c r="J141" s="1894"/>
      <c r="K141" s="1894"/>
      <c r="L141" s="1281"/>
      <c r="M141" s="1250"/>
    </row>
    <row r="142" spans="1:13" ht="15" customHeight="1" x14ac:dyDescent="0.25">
      <c r="A142" s="1352"/>
      <c r="B142" s="1352"/>
      <c r="C142" s="1352"/>
      <c r="D142" s="1352"/>
      <c r="E142" s="1352"/>
      <c r="F142" s="1352"/>
      <c r="G142" s="1352"/>
      <c r="H142" s="1352"/>
      <c r="I142" s="1352"/>
      <c r="J142" s="1352"/>
      <c r="K142" s="1353"/>
      <c r="L142" s="393"/>
    </row>
    <row r="143" spans="1:13" ht="15" customHeight="1" x14ac:dyDescent="0.25">
      <c r="A143" s="1896"/>
      <c r="B143" s="1896"/>
      <c r="C143" s="1896"/>
      <c r="D143" s="1896"/>
      <c r="E143" s="1896"/>
      <c r="F143" s="1896"/>
      <c r="G143" s="1896"/>
      <c r="H143" s="1896"/>
      <c r="I143" s="1896"/>
      <c r="J143" s="1896"/>
      <c r="K143" s="1896"/>
      <c r="L143" s="393"/>
    </row>
    <row r="144" spans="1:13" ht="15" customHeight="1" x14ac:dyDescent="0.25">
      <c r="A144" s="1351"/>
      <c r="B144" s="1351"/>
      <c r="C144" s="1351"/>
      <c r="D144" s="1351"/>
      <c r="E144" s="1351"/>
      <c r="F144" s="1351"/>
      <c r="G144" s="1351"/>
      <c r="H144" s="1351"/>
      <c r="I144" s="1351"/>
      <c r="J144" s="1351"/>
      <c r="K144" s="1353"/>
      <c r="L144" s="393"/>
    </row>
    <row r="145" spans="1:12" ht="15" customHeight="1" x14ac:dyDescent="0.25">
      <c r="A145" s="1894"/>
      <c r="B145" s="1894"/>
      <c r="C145" s="1894"/>
      <c r="D145" s="1894"/>
      <c r="E145" s="1894"/>
      <c r="F145" s="1894"/>
      <c r="G145" s="1894"/>
      <c r="H145" s="1894"/>
      <c r="I145" s="1894"/>
      <c r="J145" s="1894"/>
      <c r="K145" s="1894"/>
      <c r="L145" s="393"/>
    </row>
    <row r="146" spans="1:12" ht="15" customHeight="1" x14ac:dyDescent="0.25">
      <c r="A146" s="1351"/>
      <c r="B146" s="1351"/>
      <c r="C146" s="1351"/>
      <c r="D146" s="1351"/>
      <c r="E146" s="1351"/>
      <c r="F146" s="1351"/>
      <c r="G146" s="1351"/>
      <c r="H146" s="1351"/>
      <c r="I146" s="1351"/>
      <c r="J146" s="1351"/>
      <c r="K146" s="1351"/>
      <c r="L146" s="393"/>
    </row>
    <row r="147" spans="1:12" ht="15" customHeight="1" x14ac:dyDescent="0.25">
      <c r="A147" s="1894"/>
      <c r="B147" s="1894"/>
      <c r="C147" s="1894"/>
      <c r="D147" s="1894"/>
      <c r="E147" s="1894"/>
      <c r="F147" s="1894"/>
      <c r="G147" s="1894"/>
      <c r="H147" s="1894"/>
      <c r="I147" s="1894"/>
      <c r="J147" s="1894"/>
      <c r="K147" s="1894"/>
      <c r="L147" s="393"/>
    </row>
    <row r="148" spans="1:12" ht="15" customHeight="1" x14ac:dyDescent="0.25">
      <c r="A148" s="1914"/>
      <c r="B148" s="1914"/>
      <c r="C148" s="1914"/>
      <c r="D148" s="1914"/>
      <c r="E148" s="1914"/>
      <c r="F148" s="1914"/>
      <c r="G148" s="1915"/>
      <c r="H148" s="1353"/>
      <c r="I148" s="1353"/>
      <c r="J148" s="1353"/>
      <c r="K148" s="1257"/>
      <c r="L148" s="393"/>
    </row>
    <row r="149" spans="1:12" ht="15" customHeight="1" x14ac:dyDescent="0.25">
      <c r="A149" s="1917"/>
      <c r="B149" s="1917"/>
      <c r="C149" s="1917"/>
      <c r="D149" s="1917"/>
      <c r="E149" s="1917"/>
      <c r="F149" s="1917"/>
      <c r="G149" s="1917"/>
      <c r="H149" s="1917"/>
      <c r="I149" s="1917"/>
      <c r="J149" s="1917"/>
      <c r="K149" s="1257"/>
      <c r="L149" s="393"/>
    </row>
    <row r="150" spans="1:12" ht="15" customHeight="1" x14ac:dyDescent="0.25">
      <c r="A150" s="1354"/>
      <c r="B150" s="1354"/>
      <c r="C150" s="1354"/>
      <c r="D150" s="1354"/>
      <c r="E150" s="1354"/>
      <c r="F150" s="1354"/>
      <c r="G150" s="1354"/>
      <c r="H150" s="1354"/>
      <c r="I150" s="1354"/>
      <c r="J150" s="1354"/>
      <c r="K150" s="1257"/>
      <c r="L150" s="393"/>
    </row>
    <row r="151" spans="1:12" ht="15" customHeight="1" x14ac:dyDescent="0.25">
      <c r="A151" s="1917"/>
      <c r="B151" s="1917"/>
      <c r="C151" s="1917"/>
      <c r="D151" s="1917"/>
      <c r="E151" s="1917"/>
      <c r="F151" s="1355"/>
      <c r="G151" s="1356"/>
      <c r="H151" s="1354"/>
      <c r="I151" s="1354"/>
      <c r="J151" s="1354"/>
      <c r="K151" s="1257"/>
      <c r="L151" s="393"/>
    </row>
    <row r="152" spans="1:12" ht="15" customHeight="1" x14ac:dyDescent="0.25">
      <c r="A152" s="1281"/>
      <c r="B152" s="1281"/>
      <c r="C152" s="1281"/>
      <c r="D152" s="1281"/>
      <c r="E152" s="1281"/>
      <c r="F152" s="1281"/>
      <c r="G152" s="1281"/>
      <c r="H152" s="1281"/>
      <c r="I152" s="1281"/>
      <c r="J152" s="1281"/>
      <c r="K152" s="393"/>
      <c r="L152" s="393"/>
    </row>
    <row r="153" spans="1:12" ht="15" customHeight="1" x14ac:dyDescent="0.25">
      <c r="A153" s="1878" t="s">
        <v>34</v>
      </c>
      <c r="B153" s="1878"/>
      <c r="C153" s="1878"/>
      <c r="D153" s="1878"/>
      <c r="E153" s="393"/>
      <c r="F153" s="393"/>
      <c r="G153" s="393"/>
      <c r="H153" s="393"/>
      <c r="I153" s="393"/>
      <c r="J153" s="393"/>
      <c r="K153" s="393"/>
      <c r="L153" s="393"/>
    </row>
    <row r="154" spans="1:12" ht="15" customHeight="1" x14ac:dyDescent="0.25">
      <c r="A154" s="393"/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</row>
    <row r="155" spans="1:12" ht="15" customHeight="1" x14ac:dyDescent="0.25">
      <c r="A155" s="393"/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</row>
    <row r="156" spans="1:12" ht="15" customHeight="1" x14ac:dyDescent="0.25">
      <c r="A156" s="1253"/>
      <c r="B156" s="1251" t="s">
        <v>35</v>
      </c>
      <c r="C156" s="1251"/>
      <c r="D156" s="1251"/>
      <c r="E156" s="1251"/>
      <c r="F156" s="393"/>
      <c r="G156" s="1886" t="s">
        <v>35</v>
      </c>
      <c r="H156" s="1886"/>
      <c r="I156" s="1886"/>
      <c r="J156" s="1886"/>
      <c r="K156" s="1253"/>
      <c r="L156" s="393"/>
    </row>
    <row r="157" spans="1:12" ht="15" customHeight="1" x14ac:dyDescent="0.25">
      <c r="A157" s="1353"/>
      <c r="B157" s="1886" t="s">
        <v>36</v>
      </c>
      <c r="C157" s="1886"/>
      <c r="D157" s="1886"/>
      <c r="E157" s="1886"/>
      <c r="F157" s="393"/>
      <c r="G157" s="1886" t="s">
        <v>611</v>
      </c>
      <c r="H157" s="1886"/>
      <c r="I157" s="1886"/>
      <c r="J157" s="1886"/>
      <c r="K157" s="393"/>
      <c r="L157" s="393"/>
    </row>
    <row r="158" spans="1:12" ht="15" customHeight="1" x14ac:dyDescent="0.25">
      <c r="A158" s="393"/>
      <c r="B158" s="1916" t="e">
        <f>VLOOKUP(A156,DATOS!P9:S13,4,FALSE)</f>
        <v>#N/A</v>
      </c>
      <c r="C158" s="1916"/>
      <c r="D158" s="1916"/>
      <c r="E158" s="1916"/>
      <c r="F158" s="1965" t="e">
        <f>VLOOKUP(K156,DATOS!P9:U13,6,FALSE)</f>
        <v>#N/A</v>
      </c>
      <c r="G158" s="1965"/>
      <c r="H158" s="1965"/>
      <c r="I158" s="1965"/>
      <c r="J158" s="1965"/>
      <c r="K158" s="1965"/>
      <c r="L158" s="393"/>
    </row>
    <row r="159" spans="1:12" ht="15" customHeight="1" x14ac:dyDescent="0.25">
      <c r="A159" s="393"/>
      <c r="B159" s="1878" t="e">
        <f>VLOOKUP(A156,DATOS!P9:S13,2,FALSE)</f>
        <v>#N/A</v>
      </c>
      <c r="C159" s="1878"/>
      <c r="D159" s="1878"/>
      <c r="E159" s="1878"/>
      <c r="F159" s="1878" t="e">
        <f>VLOOKUP(K156,DATOS!P9:U13,2,FALSE)</f>
        <v>#N/A</v>
      </c>
      <c r="G159" s="1878"/>
      <c r="H159" s="1878"/>
      <c r="I159" s="1878"/>
      <c r="J159" s="1878"/>
      <c r="K159" s="1878"/>
      <c r="L159" s="393"/>
    </row>
    <row r="160" spans="1:12" ht="15" customHeight="1" x14ac:dyDescent="0.25">
      <c r="A160" s="393"/>
      <c r="B160" s="393"/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</row>
    <row r="161" spans="1:12" ht="15" customHeight="1" x14ac:dyDescent="0.25">
      <c r="A161" s="393"/>
      <c r="B161" s="1911" t="s">
        <v>37</v>
      </c>
      <c r="C161" s="1911"/>
      <c r="D161" s="1911"/>
      <c r="E161" s="1912"/>
      <c r="F161" s="1912"/>
      <c r="G161" s="393"/>
      <c r="H161" s="393"/>
      <c r="I161" s="393"/>
      <c r="J161" s="393"/>
      <c r="K161" s="393"/>
      <c r="L161" s="393"/>
    </row>
    <row r="162" spans="1:12" ht="15" customHeight="1" x14ac:dyDescent="0.25">
      <c r="A162" s="393"/>
      <c r="B162" s="1913" t="s">
        <v>288</v>
      </c>
      <c r="C162" s="1913"/>
      <c r="D162" s="1913"/>
      <c r="E162" s="1913"/>
      <c r="F162" s="1913"/>
      <c r="G162" s="1913"/>
      <c r="H162" s="1913"/>
      <c r="I162" s="1913"/>
      <c r="J162" s="393"/>
      <c r="K162" s="393"/>
      <c r="L162" s="393"/>
    </row>
  </sheetData>
  <sheetProtection algorithmName="SHA-512" hashValue="xiITy5WIeoCmlUCg/AM96Nbds8m7GFkaUwP44+WpI5MVdbjxoqM2AzC9M9M2XrvniUJYFSACJkd4zGp9DBUx+w==" saltValue="udXqLzcITXD8f5M8S8wEUA==" spinCount="100000" sheet="1" objects="1" scenarios="1"/>
  <mergeCells count="145">
    <mergeCell ref="A147:K147"/>
    <mergeCell ref="F158:K158"/>
    <mergeCell ref="F159:K159"/>
    <mergeCell ref="A98:K98"/>
    <mergeCell ref="G96:H96"/>
    <mergeCell ref="I96:J96"/>
    <mergeCell ref="I94:J94"/>
    <mergeCell ref="C104:D104"/>
    <mergeCell ref="C103:D103"/>
    <mergeCell ref="A135:K135"/>
    <mergeCell ref="A137:K137"/>
    <mergeCell ref="A141:K141"/>
    <mergeCell ref="A139:K139"/>
    <mergeCell ref="A131:J131"/>
    <mergeCell ref="A116:E116"/>
    <mergeCell ref="E94:F94"/>
    <mergeCell ref="A94:C94"/>
    <mergeCell ref="G79:I79"/>
    <mergeCell ref="B79:C79"/>
    <mergeCell ref="A100:I100"/>
    <mergeCell ref="A95:C95"/>
    <mergeCell ref="G95:H95"/>
    <mergeCell ref="I95:J95"/>
    <mergeCell ref="A96:C96"/>
    <mergeCell ref="D79:F79"/>
    <mergeCell ref="I13:K13"/>
    <mergeCell ref="F13:H13"/>
    <mergeCell ref="I93:J93"/>
    <mergeCell ref="T26:V26"/>
    <mergeCell ref="A30:K30"/>
    <mergeCell ref="A31:K31"/>
    <mergeCell ref="C48:K48"/>
    <mergeCell ref="C58:J58"/>
    <mergeCell ref="C60:J60"/>
    <mergeCell ref="C62:J62"/>
    <mergeCell ref="C53:K53"/>
    <mergeCell ref="C55:K55"/>
    <mergeCell ref="C57:K57"/>
    <mergeCell ref="C59:K59"/>
    <mergeCell ref="C61:K61"/>
    <mergeCell ref="X26:Z26"/>
    <mergeCell ref="A7:D7"/>
    <mergeCell ref="T24:X24"/>
    <mergeCell ref="A17:D17"/>
    <mergeCell ref="A18:D18"/>
    <mergeCell ref="A19:D19"/>
    <mergeCell ref="A140:I140"/>
    <mergeCell ref="A46:B46"/>
    <mergeCell ref="A74:E74"/>
    <mergeCell ref="A35:H35"/>
    <mergeCell ref="A93:C93"/>
    <mergeCell ref="C105:D105"/>
    <mergeCell ref="C112:D112"/>
    <mergeCell ref="A90:K90"/>
    <mergeCell ref="C69:H69"/>
    <mergeCell ref="C71:H71"/>
    <mergeCell ref="A81:E81"/>
    <mergeCell ref="A88:E88"/>
    <mergeCell ref="A92:C92"/>
    <mergeCell ref="G92:H92"/>
    <mergeCell ref="I92:J92"/>
    <mergeCell ref="B78:C78"/>
    <mergeCell ref="D78:F78"/>
    <mergeCell ref="G78:I78"/>
    <mergeCell ref="A1:K5"/>
    <mergeCell ref="A9:B9"/>
    <mergeCell ref="A10:B10"/>
    <mergeCell ref="D10:F10"/>
    <mergeCell ref="D9:F9"/>
    <mergeCell ref="A33:D33"/>
    <mergeCell ref="E33:F33"/>
    <mergeCell ref="A14:B14"/>
    <mergeCell ref="D14:F14"/>
    <mergeCell ref="A11:B11"/>
    <mergeCell ref="D11:G11"/>
    <mergeCell ref="A13:C13"/>
    <mergeCell ref="D13:E13"/>
    <mergeCell ref="A28:K28"/>
    <mergeCell ref="A15:J15"/>
    <mergeCell ref="A20:D20"/>
    <mergeCell ref="A27:D27"/>
    <mergeCell ref="E17:H17"/>
    <mergeCell ref="E18:H18"/>
    <mergeCell ref="E19:H19"/>
    <mergeCell ref="E21:H21"/>
    <mergeCell ref="A21:D21"/>
    <mergeCell ref="A22:D22"/>
    <mergeCell ref="B161:D161"/>
    <mergeCell ref="E161:F161"/>
    <mergeCell ref="B162:I162"/>
    <mergeCell ref="B159:E159"/>
    <mergeCell ref="A148:G148"/>
    <mergeCell ref="A153:D153"/>
    <mergeCell ref="B157:E157"/>
    <mergeCell ref="B158:E158"/>
    <mergeCell ref="A149:J149"/>
    <mergeCell ref="A151:E151"/>
    <mergeCell ref="G156:J156"/>
    <mergeCell ref="G157:J157"/>
    <mergeCell ref="A23:D23"/>
    <mergeCell ref="A24:D24"/>
    <mergeCell ref="A25:D25"/>
    <mergeCell ref="A26:D26"/>
    <mergeCell ref="F108:G108"/>
    <mergeCell ref="A118:I118"/>
    <mergeCell ref="E121:E123"/>
    <mergeCell ref="A145:K145"/>
    <mergeCell ref="A129:K129"/>
    <mergeCell ref="A133:K133"/>
    <mergeCell ref="A143:K143"/>
    <mergeCell ref="A127:F127"/>
    <mergeCell ref="A114:E114"/>
    <mergeCell ref="A76:K76"/>
    <mergeCell ref="E92:F92"/>
    <mergeCell ref="E93:F93"/>
    <mergeCell ref="A37:K38"/>
    <mergeCell ref="C50:K51"/>
    <mergeCell ref="A101:B101"/>
    <mergeCell ref="C101:E101"/>
    <mergeCell ref="E95:F95"/>
    <mergeCell ref="E96:F96"/>
    <mergeCell ref="J6:K6"/>
    <mergeCell ref="G6:I6"/>
    <mergeCell ref="J45:K45"/>
    <mergeCell ref="G45:I45"/>
    <mergeCell ref="J87:K87"/>
    <mergeCell ref="G87:I87"/>
    <mergeCell ref="J126:K126"/>
    <mergeCell ref="G126:I126"/>
    <mergeCell ref="C102:D102"/>
    <mergeCell ref="E22:H22"/>
    <mergeCell ref="E23:H23"/>
    <mergeCell ref="E26:H26"/>
    <mergeCell ref="E20:H20"/>
    <mergeCell ref="E27:H27"/>
    <mergeCell ref="G93:H93"/>
    <mergeCell ref="F101:G101"/>
    <mergeCell ref="C63:K63"/>
    <mergeCell ref="C65:K65"/>
    <mergeCell ref="A83:K84"/>
    <mergeCell ref="C68:J68"/>
    <mergeCell ref="C64:J64"/>
    <mergeCell ref="C66:J66"/>
    <mergeCell ref="C67:J67"/>
    <mergeCell ref="G94:H94"/>
  </mergeCell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headerFooter>
    <oddHeader>&amp;C
&amp;"-,Negrita"INFORME DE COMPROBACIONES INTERMEDIAS  DE RECIPIENTES VOLUMÉTRICOS</oddHeader>
    <oddFooter xml:space="preserve">&amp;RRT03-F35 Vr. 4(2019-06-05)
&amp;P de 4 </oddFooter>
  </headerFooter>
  <rowBreaks count="3" manualBreakCount="3">
    <brk id="43" max="10" man="1"/>
    <brk id="85" max="10" man="1"/>
    <brk id="124" max="10" man="1"/>
  </rowBreaks>
  <colBreaks count="1" manualBreakCount="1">
    <brk id="12" max="1048575" man="1"/>
  </colBreaks>
  <ignoredErrors>
    <ignoredError sqref="I96 G96 D96 B158:B159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D4A6520-9655-4425-85F5-EDE05C527B4C}">
            <xm:f>NOT(ISERROR(SEARCH($F$109,F114)))</xm:f>
            <xm:f>$F$109</xm:f>
            <x14:dxf>
              <font>
                <b/>
                <i val="0"/>
              </font>
            </x14:dxf>
          </x14:cfRule>
          <x14:cfRule type="containsText" priority="12" stopIfTrue="1" operator="containsText" id="{10145571-340A-42E6-A73D-51EBE00510D1}">
            <xm:f>NOT(ISERROR(SEARCH($F$109,F114)))</xm:f>
            <xm:f>$F$109</xm:f>
            <x14:dxf>
              <font>
                <b/>
                <i val="0"/>
                <color auto="1"/>
              </font>
              <fill>
                <patternFill>
                  <bgColor rgb="FFFFC7CE"/>
                </patternFill>
              </fill>
            </x14:dxf>
          </x14:cfRule>
          <xm:sqref>F114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DATOS!$P$9:$P$11</xm:f>
          </x14:formula1>
          <xm:sqref>A156</xm:sqref>
        </x14:dataValidation>
        <x14:dataValidation type="list" allowBlank="1" showInputMessage="1" showErrorMessage="1">
          <x14:formula1>
            <xm:f>DATOS!$P$9:$P$13</xm:f>
          </x14:formula1>
          <xm:sqref>K156</xm:sqref>
        </x14:dataValidation>
        <x14:dataValidation type="list" allowBlank="1" showInputMessage="1" showErrorMessage="1">
          <x14:formula1>
            <xm:f>DATOS!$C$111:$C$116</xm:f>
          </x14:formula1>
          <xm:sqref>K96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16</vt:i4>
      </vt:variant>
    </vt:vector>
  </HeadingPairs>
  <TitlesOfParts>
    <vt:vector size="22" baseType="lpstr">
      <vt:lpstr>DATOS 1</vt:lpstr>
      <vt:lpstr>DATOS</vt:lpstr>
      <vt:lpstr>RT03-F33</vt:lpstr>
      <vt:lpstr>CALIBRACIÓN DESPUES DE AJUSTE</vt:lpstr>
      <vt:lpstr>VERIFICACIÓN DE LA ESCALA</vt:lpstr>
      <vt:lpstr>RT03-F35</vt:lpstr>
      <vt:lpstr>'CALIBRACIÓN DESPUES DE AJUSTE'!Área_de_impresión</vt:lpstr>
      <vt:lpstr>DATOS!Área_de_impresión</vt:lpstr>
      <vt:lpstr>'RT03-F33'!Área_de_impresión</vt:lpstr>
      <vt:lpstr>'RT03-F35'!Área_de_impresión</vt:lpstr>
      <vt:lpstr>'VERIFICACIÓN DE LA ESCALA'!Área_de_impresión</vt:lpstr>
      <vt:lpstr>'CALIBRACIÓN DESPUES DE AJUSTE'!Print_Area</vt:lpstr>
      <vt:lpstr>DATOS!Print_Area</vt:lpstr>
      <vt:lpstr>'DATOS 1'!Print_Area</vt:lpstr>
      <vt:lpstr>'RT03-F33'!Print_Area</vt:lpstr>
      <vt:lpstr>'RT03-F35'!Print_Area</vt:lpstr>
      <vt:lpstr>'VERIFICACIÓN DE LA ESCALA'!Print_Area</vt:lpstr>
      <vt:lpstr>'CALIBRACIÓN DESPUES DE AJUSTE'!Print_Titles</vt:lpstr>
      <vt:lpstr>DATOS!Print_Titles</vt:lpstr>
      <vt:lpstr>'DATOS 1'!Print_Titles</vt:lpstr>
      <vt:lpstr>'RT03-F33'!Print_Titles</vt:lpstr>
      <vt:lpstr>'VERIFICACIÓN DE LA ESCALA'!Print_Titles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Yenny Hernandez</cp:lastModifiedBy>
  <cp:lastPrinted>2019-06-06T15:13:12Z</cp:lastPrinted>
  <dcterms:created xsi:type="dcterms:W3CDTF">2015-11-06T23:47:29Z</dcterms:created>
  <dcterms:modified xsi:type="dcterms:W3CDTF">2019-06-06T15:26:28Z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722878</vt:i4>
  </property>
</Properties>
</file>